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unsa-iessa\National\remuneration\simulateur de fiche de paye\"/>
    </mc:Choice>
  </mc:AlternateContent>
  <xr:revisionPtr revIDLastSave="0" documentId="13_ncr:1_{D306E8D8-E38D-42B7-8584-BFC2CB7D9A6C}" xr6:coauthVersionLast="47" xr6:coauthVersionMax="47" xr10:uidLastSave="{00000000-0000-0000-0000-000000000000}"/>
  <workbookProtection workbookAlgorithmName="SHA-512" workbookHashValue="0Ty7Rw6bJHm5q4DUacXg/oUdoZGiZtf09ur2phtkl68pEGEjGKVbTHFYufy5NajJXOmosBHvdTuaZI5gjt7t2g==" workbookSaltValue="3NKHZK0aqjTbkeLm+8+njQ==" workbookSpinCount="100000" lockStructure="1"/>
  <bookViews>
    <workbookView xWindow="-120" yWindow="-120" windowWidth="25440" windowHeight="15390" tabRatio="545" activeTab="3" xr2:uid="{00000000-000D-0000-FFFF-FFFF00000000}"/>
  </bookViews>
  <sheets>
    <sheet name="fiche de paye" sheetId="2" r:id="rId1"/>
    <sheet name="EVS Pt fonctions" sheetId="8" r:id="rId2"/>
    <sheet name="tableaux_primes_et_indiciaires" sheetId="6" r:id="rId3"/>
    <sheet name="version" sheetId="7" r:id="rId4"/>
  </sheets>
  <definedNames>
    <definedName name="_xlnm._FilterDatabase" localSheetId="2" hidden="1">'EVS Pt fonctions'!$A$1:$B$16</definedName>
    <definedName name="l_année">tableaux_primes_et_indiciaires!$B$87:$B$93</definedName>
    <definedName name="l_années">tableaux_primes_et_indiciaires!$B$87:$B$93</definedName>
    <definedName name="l_EVS">'EVS Pt fonctions'!$A$2:$B$17</definedName>
    <definedName name="l_EVSfonction">'EVS Pt fonctions'!$B$2:$B$17</definedName>
    <definedName name="l_evsmontant">'EVS Pt fonctions'!$B$2:$D$17</definedName>
    <definedName name="L_fonctions">'EVS Pt fonctions'!$B$2:$B$17</definedName>
    <definedName name="l_grade">tableaux_primes_et_indiciaires!$B$4:$B$64</definedName>
    <definedName name="L_gradeindice">tableaux_primes_et_indiciaires!$B$4:$C$64</definedName>
    <definedName name="L_gradeindicetech">tableaux_primes_et_indiciaires!$B$4:$F$64</definedName>
    <definedName name="l_montant_CDG">tableaux_primes_et_indiciaires!$H$63:$J$65</definedName>
    <definedName name="l_montant_prime_géo">tableaux_primes_et_indiciaires!$H$73:$I$76</definedName>
    <definedName name="l_montant_psc">tableaux_primes_et_indiciaires!$H$68:$I$69</definedName>
    <definedName name="l_montant_RIT">tableaux_primes_et_indiciaires!$H$79:$I$80</definedName>
    <definedName name="l_montantpeq">tableaux_primes_et_indiciaires!$H$19:$L$24</definedName>
    <definedName name="l_montantresidence">tableaux_primes_et_indiciaires!$B$81:$D$83</definedName>
    <definedName name="L_nb_de_nuits">tableaux_primes_et_indiciaires!$H$44:$H$57</definedName>
    <definedName name="l_nb_nuits">tableaux_primes_et_indiciaires!$H$43:$I$57</definedName>
    <definedName name="l_nbenfantsacharge">tableaux_primes_et_indiciaires!$B$67:$B$77</definedName>
    <definedName name="l_nbi">tableaux_primes_et_indiciaires!$H$27:$I$28</definedName>
    <definedName name="l_niveauEVS">'EVS Pt fonctions'!$B$2:$B$16</definedName>
    <definedName name="l_part_experience">tableaux_primes_et_indiciaires!$H$4:$H$7</definedName>
    <definedName name="l_peq">tableaux_primes_et_indiciaires!$H$19:$H$24</definedName>
    <definedName name="l_prime_CDG">tableaux_primes_et_indiciaires!$H$63:$H$65</definedName>
    <definedName name="l_prime_géo">tableaux_primes_et_indiciaires!$H$73:$H$76</definedName>
    <definedName name="l_psc">tableaux_primes_et_indiciaires!$H$68:$H$69</definedName>
    <definedName name="l_ptnbi">tableaux_primes_et_indiciaires!$H$27:$H$28</definedName>
    <definedName name="l_residence">tableaux_primes_et_indiciaires!$B$81:$B$83</definedName>
    <definedName name="l_RIT">tableaux_primes_et_indiciaires!$H$79:$H$80</definedName>
    <definedName name="L_stades_protocole_2016">tableaux_primes_et_indiciaires!$B$98:$B$103</definedName>
    <definedName name="l_supplfamilial">tableaux_primes_et_indiciaires!$B$67:$F$77</definedName>
    <definedName name="l_tauxPC">tableaux_primes_et_indiciaires!$B$87:$M$93</definedName>
    <definedName name="part_experience">tableaux_primes_et_indiciaires!$H$4:$J$7</definedName>
    <definedName name="Prime_CDG">'fiche de paye'!$B$17</definedName>
    <definedName name="Stade_protocole_2016">tableaux_primes_et_indiciaires!$B$98:$D$103</definedName>
    <definedName name="_xlnm.Print_Area" localSheetId="0">'fiche de paye'!$A$1:$D$39</definedName>
    <definedName name="_xlnm.Print_Area" localSheetId="2">tableaux_primes_et_indiciaires!$B$1:$J$93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C17" i="2"/>
  <c r="C19" i="2"/>
  <c r="C31" i="2"/>
  <c r="C30" i="2"/>
  <c r="D26" i="2"/>
  <c r="C20" i="2"/>
  <c r="C22" i="2"/>
  <c r="K21" i="6"/>
  <c r="K22" i="6"/>
  <c r="K23" i="6"/>
  <c r="K24" i="6"/>
  <c r="K20" i="6"/>
  <c r="D89" i="6"/>
  <c r="D90" i="6"/>
  <c r="D91" i="6"/>
  <c r="E59" i="6"/>
  <c r="F1" i="2"/>
  <c r="E22" i="6"/>
  <c r="D2" i="2"/>
  <c r="B2" i="2"/>
  <c r="C4" i="2"/>
  <c r="D38" i="2"/>
  <c r="C9" i="2"/>
  <c r="D81" i="6"/>
  <c r="C8" i="2"/>
  <c r="C10" i="2"/>
  <c r="C11" i="2"/>
  <c r="C13" i="2"/>
  <c r="C14" i="2"/>
  <c r="C18" i="2"/>
  <c r="C12" i="2"/>
  <c r="C16" i="2"/>
  <c r="D5" i="2"/>
  <c r="D7" i="2"/>
  <c r="D27" i="2"/>
  <c r="D23" i="2"/>
  <c r="D24" i="2"/>
  <c r="D25" i="2"/>
  <c r="D30" i="2"/>
  <c r="D33" i="2"/>
  <c r="D34" i="2"/>
  <c r="D35" i="2"/>
  <c r="D36" i="2"/>
  <c r="E2" i="2"/>
  <c r="D88" i="6"/>
  <c r="D87" i="6"/>
  <c r="E61" i="6"/>
  <c r="E60" i="6"/>
  <c r="E58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62" i="6"/>
  <c r="E63" i="6"/>
  <c r="E64" i="6"/>
  <c r="E4" i="6"/>
  <c r="E69" i="6"/>
  <c r="F69" i="6"/>
  <c r="B7" i="2"/>
  <c r="B5" i="2"/>
  <c r="D82" i="6"/>
  <c r="E70" i="6"/>
  <c r="F70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C71" i="6"/>
  <c r="C72" i="6"/>
  <c r="C73" i="6"/>
  <c r="D71" i="6"/>
  <c r="D72" i="6"/>
  <c r="D73" i="6"/>
  <c r="D74" i="6"/>
  <c r="D75" i="6"/>
  <c r="D76" i="6"/>
  <c r="D77" i="6"/>
  <c r="E71" i="6"/>
  <c r="E72" i="6"/>
  <c r="F71" i="6"/>
  <c r="F73" i="6"/>
  <c r="C74" i="6"/>
  <c r="E73" i="6"/>
  <c r="F72" i="6"/>
  <c r="E74" i="6"/>
  <c r="F74" i="6"/>
  <c r="C75" i="6"/>
  <c r="F75" i="6"/>
  <c r="C76" i="6"/>
  <c r="E75" i="6"/>
  <c r="C77" i="6"/>
  <c r="F76" i="6"/>
  <c r="E76" i="6"/>
  <c r="E77" i="6"/>
  <c r="F77" i="6"/>
  <c r="C32" i="2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GENERIQUE-XP</author>
    <author>Le-Bihan</author>
    <author>lbh</author>
    <author>Generique</author>
    <author>Microsoft</author>
    <author>Pinpin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Année:
</t>
        </r>
        <r>
          <rPr>
            <sz val="8"/>
            <color indexed="81"/>
            <rFont val="Tahoma"/>
            <family val="2"/>
          </rPr>
          <t>Veuillez sélectionner dans la liste déroulante une période ou une année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Valeur du point d'indice modifié automatiquement en fonction de la date (cellule au dessus)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lbh:</t>
        </r>
        <r>
          <rPr>
            <sz val="9"/>
            <color indexed="81"/>
            <rFont val="Tahoma"/>
            <family val="2"/>
          </rPr>
          <t xml:space="preserve">
Un fonctionnaire doit percevoir une paye avec un IM minimum de 353.
Les élèves et stagiaires ont un IM inférieur à 353, le simulateur passe automatiquement l'IM à 353 </t>
        </r>
      </text>
    </comment>
    <comment ref="B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Grade échelon :
</t>
        </r>
        <r>
          <rPr>
            <sz val="8"/>
            <color indexed="81"/>
            <rFont val="Tahoma"/>
            <family val="2"/>
          </rPr>
          <t>Veuillez sélectionner dans la liste déroulante votre grade &amp; échelon
 ex D10 : divisionaire 10ième échelon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Indemnité de résidence:</t>
        </r>
        <r>
          <rPr>
            <sz val="8"/>
            <color indexed="81"/>
            <rFont val="Tahoma"/>
            <family val="2"/>
          </rPr>
          <t xml:space="preserve">
Veuillez sélectionner dans la liste déroulante votre taux d'indemnité de résidence.
</t>
        </r>
      </text>
    </comment>
    <comment ref="B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Pt NBI: 
</t>
        </r>
        <r>
          <rPr>
            <sz val="8"/>
            <color indexed="81"/>
            <rFont val="Tahoma"/>
            <family val="2"/>
          </rPr>
          <t>Veuillez indiquez le nombre de point NBI. 75 pts à partir de 35 ans ou QTS+10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Indemnité exceptionnelle:</t>
        </r>
        <r>
          <rPr>
            <sz val="8"/>
            <color indexed="81"/>
            <rFont val="Tahoma"/>
            <family val="2"/>
          </rPr>
          <t xml:space="preserve">
Veuillez éventuelllement indiquer le montant de votre indemnité exceptionnelle. Cette indemnité n'existe plus pour les agents arrivés dans la FP après 1998.</t>
        </r>
      </text>
    </comment>
    <comment ref="B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EVS: </t>
        </r>
        <r>
          <rPr>
            <sz val="8"/>
            <color indexed="81"/>
            <rFont val="Tahoma"/>
            <family val="2"/>
          </rPr>
          <t>Veuillez indiquer votre niveau de part fonction du RIS
Vous pouvez allez sur la feuille "tableaux primes et indiciaires" pour déterminer votre niveau de la  PF .</t>
        </r>
      </text>
    </comment>
    <comment ref="B1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PEQ: 
</t>
        </r>
        <r>
          <rPr>
            <sz val="8"/>
            <color indexed="81"/>
            <rFont val="Tahoma"/>
            <family val="2"/>
          </rPr>
          <t>Veuillez sélectionner dans la liste déroulante votre niveau de PEQ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Saisir le montant de l'indemnité compensatrice de CSG déterminé en janvier 2018, puis réévaluer au 1/1/2019
</t>
        </r>
      </text>
    </comment>
    <comment ref="B17" authorId="3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Prime Attractivité :
</t>
        </r>
        <r>
          <rPr>
            <sz val="8"/>
            <color indexed="81"/>
            <rFont val="Tahoma"/>
            <family val="2"/>
          </rPr>
          <t xml:space="preserve">Veuillez indiquer si vous êtes au CRNA/N, CRNA/E, CDG ou Orly
</t>
        </r>
      </text>
    </comment>
    <comment ref="B18" authorId="4" shapeId="0" xr:uid="{00000000-0006-0000-0000-00000F000000}">
      <text>
        <r>
          <rPr>
            <b/>
            <sz val="9"/>
            <color indexed="81"/>
            <rFont val="Tahoma"/>
            <family val="2"/>
          </rPr>
          <t>Veuillez indiquer le niveau de réorganisation protocole 2016 : pas de réorganisation, stade A, stade B ou stade projet de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2" shapeId="0" xr:uid="{49A9F324-36E3-4C1D-92C8-161EB1746C73}">
      <text>
        <r>
          <rPr>
            <b/>
            <sz val="9"/>
            <color indexed="81"/>
            <rFont val="Tahoma"/>
            <charset val="1"/>
          </rPr>
          <t>lbh:</t>
        </r>
        <r>
          <rPr>
            <sz val="9"/>
            <color indexed="81"/>
            <rFont val="Tahoma"/>
            <charset val="1"/>
          </rPr>
          <t xml:space="preserve">
Saisir nombre de CDF à payer</t>
        </r>
      </text>
    </comment>
    <comment ref="A22" authorId="5" shapeId="0" xr:uid="{00000000-0006-0000-0000-000011000000}">
      <text>
        <r>
          <rPr>
            <b/>
            <sz val="9"/>
            <color indexed="81"/>
            <rFont val="Tahoma"/>
            <family val="2"/>
          </rPr>
          <t>Renseigner ici le montant de l'indemnité dégressive</t>
        </r>
      </text>
    </comment>
    <comment ref="C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Autres primes:
</t>
        </r>
        <r>
          <rPr>
            <sz val="8"/>
            <color indexed="81"/>
            <rFont val="Tahoma"/>
            <family val="2"/>
          </rPr>
          <t xml:space="preserve">Vous pouvez saisir les autres primes ou indemnités ( indemnité de nuit, astreinte,..).
Pour saisir plusieurs primes, on peut utiliser les signes = et + : exemple </t>
        </r>
        <r>
          <rPr>
            <sz val="8"/>
            <color indexed="81"/>
            <rFont val="Tahoma"/>
            <family val="2"/>
          </rPr>
          <t xml:space="preserve">
"= 500+43,65" </t>
        </r>
      </text>
    </comment>
    <comment ref="D2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Autres prélevements:</t>
        </r>
        <r>
          <rPr>
            <sz val="8"/>
            <color indexed="81"/>
            <rFont val="Tahoma"/>
            <family val="2"/>
          </rPr>
          <t xml:space="preserve">
Vous pouvez saisir les autres prélèvements (MNAM, PREFOND,…)
Pour saisir plusieurs montants on peut utiliser les signes = et + : exemple 
"= 500+43,65" </t>
        </r>
      </text>
    </comment>
    <comment ref="C3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Ratio primes/traitement brut:</t>
        </r>
        <r>
          <rPr>
            <sz val="8"/>
            <color indexed="81"/>
            <rFont val="Tahoma"/>
            <family val="2"/>
          </rPr>
          <t xml:space="preserve">
Indique la part des primes sur le traitement total brut. Les montants de l'indemnité exceptionnelle et du remboursement du transport ne sont pas pris en compte
</t>
        </r>
      </text>
    </comment>
    <comment ref="D36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Il peut exister une très  légère différence entre le simulateur et une fiche de paye réelle. Cette différence est due aux arrondis effectués.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9" authorId="4" shapeId="0" xr:uid="{00000000-0006-0000-0000-000016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4" shapeId="0" xr:uid="{00000000-0006-0000-0000-000017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<sst xmlns="http://schemas.openxmlformats.org/spreadsheetml/2006/main" count="294" uniqueCount="273">
  <si>
    <t>indemnité de résidence</t>
  </si>
  <si>
    <t>taux 1  (3% du brut + NBI)</t>
  </si>
  <si>
    <t>taux 2  (1% du brut + NBI)</t>
  </si>
  <si>
    <t>taux 3 (0%)</t>
  </si>
  <si>
    <t>plancher</t>
  </si>
  <si>
    <t>%</t>
  </si>
  <si>
    <t>A payer</t>
  </si>
  <si>
    <t xml:space="preserve"> A déduire</t>
  </si>
  <si>
    <t>NBI</t>
  </si>
  <si>
    <t>Eleve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</si>
  <si>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</si>
  <si>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</si>
  <si>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</si>
  <si>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</si>
  <si>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</si>
  <si>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</si>
  <si>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</si>
  <si>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</si>
  <si>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</si>
  <si>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D1</t>
  </si>
  <si>
    <t>D2</t>
  </si>
  <si>
    <t>D3</t>
  </si>
  <si>
    <t>D6</t>
  </si>
  <si>
    <t>D8</t>
  </si>
  <si>
    <t>D10</t>
  </si>
  <si>
    <t>Stagiaire</t>
  </si>
  <si>
    <t>Grade/échelon - Taux prime -remarque</t>
  </si>
  <si>
    <t>IESSA affecté</t>
  </si>
  <si>
    <t>IESSA stagiaire examen professionnel après 9 mois d'affectation et 4 modules ENAC
IESSA stagiaire ayant réussi sa filière de spécialisation</t>
  </si>
  <si>
    <t>IESSA titulaire de la QT</t>
  </si>
  <si>
    <t>PEQ QTS &lt; 10 ans, service non réorganisé</t>
  </si>
  <si>
    <t>PEQ QTS &lt; 10 ans, service réorganisé</t>
  </si>
  <si>
    <t>PEQ QTS ≥ 10 ans, service réorganisé</t>
  </si>
  <si>
    <t>PEQ QTS ≥ 10 ans, service non réorganisé</t>
  </si>
  <si>
    <t>PEQ pas de QTS</t>
  </si>
  <si>
    <t>IESSA non affecté</t>
  </si>
  <si>
    <t>pt NBI</t>
  </si>
  <si>
    <t>0 pt</t>
  </si>
  <si>
    <t>75 pt</t>
  </si>
  <si>
    <t>0 enfant à charge de moins de 20 ans</t>
  </si>
  <si>
    <t>1 enfant à charge de moins de 20 ans</t>
  </si>
  <si>
    <t>2 enfants à charge de moins de 20 ans</t>
  </si>
  <si>
    <t>3 enfants à charge de moins de 20 ans</t>
  </si>
  <si>
    <t>4 enfants à charge de moins de 20 ans</t>
  </si>
  <si>
    <t>5 enfants à charge de moins de 20 ans</t>
  </si>
  <si>
    <t>6 enfants à charge de moins de 20 ans</t>
  </si>
  <si>
    <t>7 enfants à charge de moins de 20 ans</t>
  </si>
  <si>
    <t>8 enfants à charge de moins de 20 ans</t>
  </si>
  <si>
    <t>9 enfants à charge de moins de 20 ans</t>
  </si>
  <si>
    <t>10 enfants à charge de moins de 20 ans</t>
  </si>
  <si>
    <t xml:space="preserve">fixe suplément familial </t>
  </si>
  <si>
    <t>Valeur du point d'indice net majoré :</t>
  </si>
  <si>
    <t>saisir le montant :</t>
  </si>
  <si>
    <t>Autres retraits ( PREFON, MNAM,…)</t>
  </si>
  <si>
    <t>Salaire</t>
  </si>
  <si>
    <t>PCS</t>
  </si>
  <si>
    <t>Pas de PCS</t>
  </si>
  <si>
    <t>TRAITEMENT BRUT</t>
  </si>
  <si>
    <t>RETENUE PC</t>
  </si>
  <si>
    <t>RETENUE PC NBI</t>
  </si>
  <si>
    <t>INDEMNITE DE RESIDENCE</t>
  </si>
  <si>
    <t>TRAITEMENT BRUT NBI</t>
  </si>
  <si>
    <t>SUPP FAMILIAL TRAITEMENT</t>
  </si>
  <si>
    <t>C.S.G NON DEDUCTIBLE</t>
  </si>
  <si>
    <t>C.S.G DEDUCTIBLE</t>
  </si>
  <si>
    <t>C.R.D.S</t>
  </si>
  <si>
    <t>COT SAL RAFP</t>
  </si>
  <si>
    <t>TOTAL</t>
  </si>
  <si>
    <t>TOTAL PRIMES</t>
  </si>
  <si>
    <t>RATIO PRIMES/TOTAL BRUT</t>
  </si>
  <si>
    <t>NET A PAYER</t>
  </si>
  <si>
    <t>hors remboursement domicile travail</t>
  </si>
  <si>
    <t>Version</t>
  </si>
  <si>
    <t>Evolution</t>
  </si>
  <si>
    <t>CUTAC 2</t>
  </si>
  <si>
    <t>CUTAC 4</t>
  </si>
  <si>
    <t>CUTAC 1</t>
  </si>
  <si>
    <t>CUTAC 3</t>
  </si>
  <si>
    <t>CUTAC 5</t>
  </si>
  <si>
    <t>CSTAC 1</t>
  </si>
  <si>
    <t>CSTAC 2</t>
  </si>
  <si>
    <t>CSTAC 3</t>
  </si>
  <si>
    <t>CSTAC 4</t>
  </si>
  <si>
    <t>CSTAC 5</t>
  </si>
  <si>
    <t>CSTAC 6</t>
  </si>
  <si>
    <t>CSTAC 7</t>
  </si>
  <si>
    <t>Nb enfants</t>
  </si>
  <si>
    <t>Coefficient pour l'élément proportionnel</t>
  </si>
  <si>
    <t xml:space="preserve">Montant plancher suplément familial </t>
  </si>
  <si>
    <t xml:space="preserve">Montant plafond suplément familial </t>
  </si>
  <si>
    <t xml:space="preserve"> </t>
  </si>
  <si>
    <t>année</t>
  </si>
  <si>
    <t>valeur pt indice</t>
  </si>
  <si>
    <t>% retenu PC</t>
  </si>
  <si>
    <t>Centres du Nord et de l'Est en horaire de bureau</t>
  </si>
  <si>
    <t>Centres du Nord et de l'Est en horaire programmé ou permanent</t>
  </si>
  <si>
    <t>Agent du Nord et de l'Est en HB et logé par utilité de service.</t>
  </si>
  <si>
    <t>Taux de remplacement :</t>
  </si>
  <si>
    <t>Montant net de la retraite à taux plein (75% TB sans majoration ou décote), sans la RAFP ni la NBI :</t>
  </si>
  <si>
    <t>col PEQ</t>
  </si>
  <si>
    <t>Stade</t>
  </si>
  <si>
    <t>stade A</t>
  </si>
  <si>
    <t>Stade B</t>
  </si>
  <si>
    <t>Pas d'expérimentation protocole 2016</t>
  </si>
  <si>
    <t>TRANSFERT PRIMES/POINTS</t>
  </si>
  <si>
    <t>2,4 % de 98,25%  du brut+primes</t>
  </si>
  <si>
    <t xml:space="preserve"> 0,5% de 98,25% du brut +primes</t>
  </si>
  <si>
    <t>En Chef 2e échelon</t>
  </si>
  <si>
    <t>En Chef 1er échelon</t>
  </si>
  <si>
    <t>En Chef 3e échelon</t>
  </si>
  <si>
    <t>En Chef 4e échelon</t>
  </si>
  <si>
    <t>En Chef 5e échelon</t>
  </si>
  <si>
    <t>En Chef HEA1</t>
  </si>
  <si>
    <t>En Chef HEA2</t>
  </si>
  <si>
    <t>En Chef  HEA3</t>
  </si>
  <si>
    <t>IND. TRAVAIL DE NUIT</t>
  </si>
  <si>
    <t>Nb de nuits</t>
  </si>
  <si>
    <t>indemnité de nuit</t>
  </si>
  <si>
    <t>1 nuit</t>
  </si>
  <si>
    <t>2 nuits</t>
  </si>
  <si>
    <t>3 nuits</t>
  </si>
  <si>
    <t>4 nuits</t>
  </si>
  <si>
    <t>5 nuits</t>
  </si>
  <si>
    <t>6 nuits</t>
  </si>
  <si>
    <t>7 nuits</t>
  </si>
  <si>
    <t>8 nuits</t>
  </si>
  <si>
    <t>9 nuits</t>
  </si>
  <si>
    <t>10 nuits</t>
  </si>
  <si>
    <t>11 nuits</t>
  </si>
  <si>
    <t>12 nuits</t>
  </si>
  <si>
    <t>13 nuits</t>
  </si>
  <si>
    <t>Pas de MO de nuits</t>
  </si>
  <si>
    <t>col IM</t>
  </si>
  <si>
    <t>montant primes / points</t>
  </si>
  <si>
    <t>Date:</t>
  </si>
  <si>
    <t>IM :</t>
  </si>
  <si>
    <t>Chef d'organisme d'Orly, de Roissy, chef du SNA RP, Chef de CRNA, chef de SNA sauf SNA OI, Polynésie et Nouvelle-Calédonie, chef du SIA, Chef du CESNAC, Chef du CEDRe, Chef de mission de la DSNA, Chargé de domaine à la DTI, chef de mission SG/SDP</t>
  </si>
  <si>
    <t>spécialiste (anciennement assistant de classe B)</t>
  </si>
  <si>
    <t>IESSA QTS , spécialiste confirmé (anciennement assistant de classe A)</t>
  </si>
  <si>
    <r>
      <t>IESSA assistant de sub et EC (</t>
    </r>
    <r>
      <rPr>
        <u/>
        <sz val="8"/>
        <color indexed="8"/>
        <rFont val="Arial"/>
        <family val="2"/>
      </rPr>
      <t>en SNA hors siège</t>
    </r>
    <r>
      <rPr>
        <sz val="8"/>
        <color indexed="8"/>
        <rFont val="Arial"/>
        <family val="2"/>
      </rPr>
      <t>), détaché 12/36 mois, chef de section, responsable DO, instructeur ENAC, RSO, GRTTR, DMS PMS, expert DTI, instructeur ATSEP, coordonateur formation, chef maintenance locale en horaire programmé, ingénieur chargé d'étude</t>
    </r>
  </si>
  <si>
    <r>
      <t xml:space="preserve">IESSA </t>
    </r>
    <r>
      <rPr>
        <u/>
        <sz val="8"/>
        <color indexed="8"/>
        <rFont val="Arial"/>
        <family val="2"/>
      </rPr>
      <t>sans QTS</t>
    </r>
    <r>
      <rPr>
        <sz val="8"/>
        <color indexed="8"/>
        <rFont val="Arial"/>
        <family val="2"/>
      </rPr>
      <t xml:space="preserve"> et STM  ou RSO  ou responsable DO ou détaché ou DMS ou PMS</t>
    </r>
  </si>
  <si>
    <r>
      <t xml:space="preserve">IESSA chef de sub et ES ( en </t>
    </r>
    <r>
      <rPr>
        <u/>
        <sz val="8"/>
        <color indexed="8"/>
        <rFont val="Arial"/>
        <family val="2"/>
      </rPr>
      <t>SNA hors siège</t>
    </r>
    <r>
      <rPr>
        <sz val="8"/>
        <color indexed="8"/>
        <rFont val="Arial"/>
        <family val="2"/>
      </rPr>
      <t>), assistant de sub, EC (DTI, DO/EC, sièges SNA ou DSAC/IR ou SAC, ou DAC NC, ou SEAC ou organismes groupe A, CRNA, ENAC, CESNAC ,SIA, STAC, BEA), CDST, GRTTRS, Chef de maintenance locale à horaires de bureau, chargé de projet, chargé d'affaire, instructeur licence, Adjoints chefs de services Orly-Le Bourget, Enseignant confirmé ENAC</t>
    </r>
  </si>
  <si>
    <t>Chef de service technique, Adjoint chef d'organisme Roissy, chef SPM, adjoint de chef de domaine à la DTI, chef département ENAC et DSNA, adjoint chef CRNA et SNAC-CE, SE et SSE, adjoint chef organisme Roissy, chef pôle DSAC, chef de bureau</t>
  </si>
  <si>
    <t>Certains chefs de pôle DTI (CVL, ITR,…)</t>
  </si>
  <si>
    <t xml:space="preserve"> Adjoint chef de service technique, </t>
  </si>
  <si>
    <t>Chef de division, coordonateur de site à la DTI, Adjoint chefs de pôle (ITR, CVL,…) , adjoint chef de département ENAC et DSNA, RSMI  en CRNA, SIA et SNA (sauf SNA/OI)
Chef de pôle (CRNA, DSNA/EC, DO/EC, sièges SNA, organismes groupe A, ENAC)
Chef de pôle DTI (sauf ceux niveau 14 ),
Adjoint au chef du CESNAC
Experts nationaux labéllisés
ES chargés projet majeur à la DSNA</t>
  </si>
  <si>
    <t>Chef d'organisme Orly, Roissy,
 Chef de CRNA , CESNAC,  SNA (sauf SNA/OI, SEAC et NC)
Chefs de domaine à la DTI</t>
  </si>
  <si>
    <t>IND.  COMPENSATRICE CSG</t>
  </si>
  <si>
    <t>6,8 %  de 98,25%  du brut+primes</t>
  </si>
  <si>
    <t>NET imposable</t>
  </si>
  <si>
    <t xml:space="preserve">Prélèvement à la source </t>
  </si>
  <si>
    <t>IM 2019</t>
  </si>
  <si>
    <t>IM 2020</t>
  </si>
  <si>
    <t>D4</t>
  </si>
  <si>
    <t>D5</t>
  </si>
  <si>
    <t>D7</t>
  </si>
  <si>
    <t>D9</t>
  </si>
  <si>
    <t>D11</t>
  </si>
  <si>
    <t>D12</t>
  </si>
  <si>
    <t>D13</t>
  </si>
  <si>
    <t>D14</t>
  </si>
  <si>
    <t>D15</t>
  </si>
  <si>
    <t>CTAC1</t>
  </si>
  <si>
    <t>CTAC2</t>
  </si>
  <si>
    <t>CTAC3</t>
  </si>
  <si>
    <t>CTAC4</t>
  </si>
  <si>
    <t>CTAC5</t>
  </si>
  <si>
    <t>CTAC6</t>
  </si>
  <si>
    <t>CTAC7</t>
  </si>
  <si>
    <t>CTAC8</t>
  </si>
  <si>
    <t>CUTAC 6</t>
  </si>
  <si>
    <t>CUTAC7  HEA1</t>
  </si>
  <si>
    <t>CUTAC7  HEA2</t>
  </si>
  <si>
    <t>CUTAC7  HEA3</t>
  </si>
  <si>
    <t>Niveau part liée à l'expérience</t>
  </si>
  <si>
    <t>Niv 4 - D avec QTS&lt;15 ans</t>
  </si>
  <si>
    <t>Niv 1 - Stagiaire</t>
  </si>
  <si>
    <t>Niv 3 - N</t>
  </si>
  <si>
    <t>Niv 5 - QTS&gt;=15 ans</t>
  </si>
  <si>
    <t>Part fonction niv 13</t>
  </si>
  <si>
    <t>Part fonction niv 14</t>
  </si>
  <si>
    <t>Part fonction niv 1</t>
  </si>
  <si>
    <t>Part fonction niv 2</t>
  </si>
  <si>
    <t xml:space="preserve">IESSA  Chefs de programme, chefs de projets, chef de sub/ ES (DTI, DO/EC, DSAC, DSAC/DTI, DO/EC, sièges SNA , ou DAC NC, ou SEAC ou organismes groupe A, CRNA, ENAC, CESNAC ,SIA, STAC,),  chef de division,   Adjoint chef de pôle DTI (sauf ceux classé en EVS niv 14, DSNA/EC, DO/EC, Sièges SNA, organisme groupe A, CRNA, CESNAC), chef de maintenance régionale, inspecteur d'étude à l'ENAC,responsable d'axe de recherche à l'ENAC,  RSMI  SNA-OI, </t>
  </si>
  <si>
    <t>Pas de QTS</t>
  </si>
  <si>
    <t xml:space="preserve"> Part fonction</t>
  </si>
  <si>
    <t>Part fonction niv 5</t>
  </si>
  <si>
    <t xml:space="preserve">Part fonction niv 7 </t>
  </si>
  <si>
    <t>Part fonction niv 8</t>
  </si>
  <si>
    <t xml:space="preserve">Part fonction niv 9 </t>
  </si>
  <si>
    <t xml:space="preserve">Part fonction niv 10 </t>
  </si>
  <si>
    <t xml:space="preserve">Part fonction niv 11 </t>
  </si>
  <si>
    <t xml:space="preserve">Part fonction niv 12 </t>
  </si>
  <si>
    <t>pas de part fonction</t>
  </si>
  <si>
    <t xml:space="preserve">Part fonction niv 13 </t>
  </si>
  <si>
    <t xml:space="preserve"> Part fonction niv 14 </t>
  </si>
  <si>
    <t xml:space="preserve">Part fonction niv 15 </t>
  </si>
  <si>
    <t>V19</t>
  </si>
  <si>
    <t>- 2023 -</t>
  </si>
  <si>
    <t>Principales fonctions IESSA
Voir arrêté :
https://www.legifrance.gouv.fr/loda/id/JORFTEXT000034517413/2023-04-02/</t>
  </si>
  <si>
    <t>PEQ/ Part évolution qualification
Voir arrêté :
https://www.legifrance.gouv.fr/loda/id/JORFTEXT000034517512/2023-04-02/</t>
  </si>
  <si>
    <t>Participation à la PSC (mutuelle)</t>
  </si>
  <si>
    <t>Montant</t>
  </si>
  <si>
    <t>Version valable à partir du 1/1/2023
IM minimum à 353</t>
  </si>
  <si>
    <r>
      <t xml:space="preserve">
Ce simulateur de paye réalisé par l'UNSA-IESSA 
</t>
    </r>
    <r>
      <rPr>
        <b/>
        <sz val="12"/>
        <color indexed="8"/>
        <rFont val="Arial"/>
        <family val="2"/>
      </rPr>
      <t xml:space="preserve">
Il suffit de remplir les cellules sur fond bleu (sélection d'élément dans les listes
 ou saisie directe de la valeur).
</t>
    </r>
    <r>
      <rPr>
        <sz val="12"/>
        <color indexed="8"/>
        <rFont val="Arial"/>
        <family val="2"/>
      </rPr>
      <t xml:space="preserve">
bn@iessa.news
</t>
    </r>
  </si>
  <si>
    <t>RIST PART EXPER. PROF.</t>
  </si>
  <si>
    <t>RIST CPLT EXPERIMENTATION</t>
  </si>
  <si>
    <t>RIST PART FONCTIONS</t>
  </si>
  <si>
    <t>RIST PART TECHNIQUE PEQ</t>
  </si>
  <si>
    <t xml:space="preserve">Participation à la PSC </t>
  </si>
  <si>
    <t>Pas de particpation à la PSC (mutuelle)</t>
  </si>
  <si>
    <t>Autres primes (Astreinte, Indemnité dégressive,..)</t>
  </si>
  <si>
    <t>V19b</t>
  </si>
  <si>
    <t>modification  IM minimum à 361 à compter du 1/5/2023</t>
  </si>
  <si>
    <t>IM min</t>
  </si>
  <si>
    <t>IM Min:</t>
  </si>
  <si>
    <t>V20</t>
  </si>
  <si>
    <t xml:space="preserve">Entre le  1/1/2023  et le  1/5/2023 </t>
  </si>
  <si>
    <t>entre le  1/5/2023  et le 1/7/2023</t>
  </si>
  <si>
    <t>entre le  1/7/2023  et le 1/1/2024</t>
  </si>
  <si>
    <t>CST HEB 1</t>
  </si>
  <si>
    <t>CST HEB 2</t>
  </si>
  <si>
    <t>CST HEB 3</t>
  </si>
  <si>
    <t>Rajout augmentation pt indice au 1/7/23 +EF CST + augmentation 5pt d'indice au 1/1/2024 + gestion IM min</t>
  </si>
  <si>
    <t>A partir du  1/1/2024</t>
  </si>
  <si>
    <t>REMBT DOMICILE-TRAVAIL ou TTL</t>
  </si>
  <si>
    <t>5% des primes plafonnées à 20% du salaire brut</t>
  </si>
  <si>
    <t>V21</t>
  </si>
  <si>
    <t>Colonne   part fonction</t>
  </si>
  <si>
    <t>Montant brut  
part fonction
&lt;1/1/2024</t>
  </si>
  <si>
    <t>Montant brut  
part fonction
&gt;1/1/2024</t>
  </si>
  <si>
    <t>montant avant 1/1/24</t>
  </si>
  <si>
    <t>-2024 -</t>
  </si>
  <si>
    <t>Col PCS</t>
  </si>
  <si>
    <t>-2024-</t>
  </si>
  <si>
    <t>-2023-</t>
  </si>
  <si>
    <t>Col expérience</t>
  </si>
  <si>
    <t>Col PS/PSS</t>
  </si>
  <si>
    <t>&lt;1/1/2024</t>
  </si>
  <si>
    <t>NETà payer avant impot</t>
  </si>
  <si>
    <t xml:space="preserve">Intégration augmentation des primes au 1/1/2024, net à payer avant impot </t>
  </si>
  <si>
    <t>IM 1-1-24</t>
  </si>
  <si>
    <t>Col CDG</t>
  </si>
  <si>
    <t>V22</t>
  </si>
  <si>
    <t>Correction montant retraite 18-02-2024</t>
  </si>
  <si>
    <t>Stade projet de service spécifique</t>
  </si>
  <si>
    <t>A partir du  1/7/2024</t>
  </si>
  <si>
    <t>²</t>
  </si>
  <si>
    <t>Rajout PSS, augmentation PEQ de 100€ à partir du 1/7/2024</t>
  </si>
  <si>
    <t>RIST MAJO ATTRACT. CRNA</t>
  </si>
  <si>
    <t>Pas de prime d'attractivité</t>
  </si>
  <si>
    <t>RIST MAJO GEO N.N-E</t>
  </si>
  <si>
    <t>Prime d'attractivité QT+1 an</t>
  </si>
  <si>
    <t>Prime d'attractivité QT+ 4 ans</t>
  </si>
  <si>
    <t>Stade projet de service à 107,64€</t>
  </si>
  <si>
    <t>Stade projet de service à 100 €</t>
  </si>
  <si>
    <t>Prime majoration géographique</t>
  </si>
  <si>
    <t>1-7-2024</t>
  </si>
  <si>
    <t>Prime Attractivité</t>
  </si>
  <si>
    <t>Pas de prime majoration géographique</t>
  </si>
  <si>
    <t>Prime géographique  avec NAS</t>
  </si>
  <si>
    <t>Prime géographique  avec travail de nuit ou WE</t>
  </si>
  <si>
    <t>Prime géographique en horaires de bureau</t>
  </si>
  <si>
    <t>V24</t>
  </si>
  <si>
    <t>V23</t>
  </si>
  <si>
    <t>Rajout primes attractivité, géographique, RIT</t>
  </si>
  <si>
    <t>RIST RIT</t>
  </si>
  <si>
    <t>RIT</t>
  </si>
  <si>
    <t>Pas de RIT (réserve d'intervention technique)</t>
  </si>
  <si>
    <t>RIT (réserve d'intervention technique)</t>
  </si>
  <si>
    <t>V25</t>
  </si>
  <si>
    <t>Nombre de CDF à payer</t>
  </si>
  <si>
    <t>Suppression PCS, rajout CDF,prime attractivité à 105,05€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</si>
</sst>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C]_-;\-* #,##0.00\ [$€-40C]_-;_-* &quot;-&quot;??\ [$€-40C]_-;_-@_-"/>
    <numFmt numFmtId="167" formatCode="_-* #,##0.000000\ &quot;€&quot;_-;\-* #,##0.000000\ &quot;€&quot;_-;_-* &quot;-&quot;??\ &quot;€&quot;_-;_-@_-"/>
    <numFmt numFmtId="168" formatCode="#,##0.00_ ;\-#,##0.00\ "/>
    <numFmt numFmtId="169" formatCode="#,##0.000_ ;\-#,##0.000\ "/>
    <numFmt numFmtId="170" formatCode="_-* #,##0.00\ &quot;€&quot;_-;\-* #,##0.00\ &quot;€&quot;_-;_-* &quot;-&quot;???\ &quot;€&quot;_-;_-@_-"/>
    <numFmt numFmtId="171" formatCode="_-* #,##0.00\ [$€-40C]_-;\-* #,##0.00\ [$€-40C]_-;_-* &quot;-&quot;???\ [$€-40C]_-;_-@_-"/>
    <numFmt numFmtId="172" formatCode="_-* #,##0.000000\ &quot;€&quot;_-;\-* #,##0.000000\ &quot;€&quot;_-;_-* &quot;-&quot;??????\ &quot;€&quot;_-;_-@_-"/>
    <numFmt numFmtId="173" formatCode="0.000%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color rgb="FF0070C0"/>
      <name val="Calibri"/>
      <family val="2"/>
    </font>
    <font>
      <sz val="8"/>
      <color theme="1"/>
      <name val="Calibri"/>
      <family val="2"/>
      <scheme val="minor"/>
    </font>
    <font>
      <u/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thin">
        <color auto="1"/>
      </left>
      <right style="medium">
        <color theme="4" tint="-0.2499465926084170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6" borderId="34" applyNumberFormat="0" applyAlignment="0" applyProtection="0"/>
    <xf numFmtId="0" fontId="32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11" fillId="0" borderId="2" xfId="5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/>
    </xf>
    <xf numFmtId="44" fontId="11" fillId="0" borderId="2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11" fillId="0" borderId="4" xfId="5" applyFont="1" applyBorder="1" applyAlignment="1">
      <alignment horizontal="center" vertical="center"/>
    </xf>
    <xf numFmtId="164" fontId="11" fillId="0" borderId="2" xfId="4" applyFont="1" applyBorder="1" applyAlignment="1">
      <alignment horizontal="center" vertical="center" wrapText="1"/>
    </xf>
    <xf numFmtId="9" fontId="11" fillId="0" borderId="2" xfId="6" applyFont="1" applyBorder="1" applyAlignment="1">
      <alignment horizontal="center" vertical="center"/>
    </xf>
    <xf numFmtId="9" fontId="11" fillId="0" borderId="4" xfId="6" applyFont="1" applyBorder="1" applyAlignment="1">
      <alignment horizontal="center" vertical="center"/>
    </xf>
    <xf numFmtId="44" fontId="11" fillId="0" borderId="5" xfId="5" applyFont="1" applyBorder="1" applyAlignment="1">
      <alignment horizontal="center" vertical="center"/>
    </xf>
    <xf numFmtId="44" fontId="11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4" fontId="6" fillId="0" borderId="0" xfId="3" applyFont="1" applyAlignment="1">
      <alignment horizontal="center" vertical="center"/>
    </xf>
    <xf numFmtId="169" fontId="16" fillId="0" borderId="0" xfId="3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19" fillId="0" borderId="5" xfId="5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19" fillId="0" borderId="21" xfId="3" applyFont="1" applyBorder="1" applyAlignment="1">
      <alignment horizontal="center" vertical="center"/>
    </xf>
    <xf numFmtId="44" fontId="19" fillId="0" borderId="8" xfId="3" applyFont="1" applyBorder="1" applyAlignment="1">
      <alignment horizontal="center" vertical="center"/>
    </xf>
    <xf numFmtId="44" fontId="19" fillId="0" borderId="0" xfId="3" applyFont="1" applyBorder="1" applyAlignment="1">
      <alignment horizontal="center" vertical="center"/>
    </xf>
    <xf numFmtId="44" fontId="11" fillId="0" borderId="5" xfId="5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19" fillId="0" borderId="0" xfId="6" applyFont="1" applyBorder="1" applyAlignment="1">
      <alignment horizontal="center" vertical="center"/>
    </xf>
    <xf numFmtId="9" fontId="19" fillId="0" borderId="23" xfId="6" applyFont="1" applyBorder="1" applyAlignment="1">
      <alignment horizontal="center" vertical="center"/>
    </xf>
    <xf numFmtId="44" fontId="19" fillId="0" borderId="25" xfId="5" applyFont="1" applyBorder="1" applyAlignment="1">
      <alignment horizontal="center" vertical="center"/>
    </xf>
    <xf numFmtId="165" fontId="19" fillId="0" borderId="8" xfId="5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44" fontId="19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6" applyFont="1" applyAlignment="1">
      <alignment horizontal="center" vertical="center"/>
    </xf>
    <xf numFmtId="44" fontId="23" fillId="0" borderId="2" xfId="5" applyFont="1" applyBorder="1" applyAlignment="1">
      <alignment vertical="center"/>
    </xf>
    <xf numFmtId="14" fontId="26" fillId="7" borderId="9" xfId="0" applyNumberFormat="1" applyFont="1" applyFill="1" applyBorder="1" applyAlignment="1">
      <alignment horizontal="center" vertical="center"/>
    </xf>
    <xf numFmtId="14" fontId="26" fillId="7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23" fillId="0" borderId="5" xfId="5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4" fontId="23" fillId="0" borderId="4" xfId="5" applyFont="1" applyBorder="1" applyAlignment="1">
      <alignment vertical="center"/>
    </xf>
    <xf numFmtId="44" fontId="23" fillId="0" borderId="6" xfId="5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35" xfId="0" applyBorder="1" applyAlignment="1">
      <alignment horizontal="center" vertical="center"/>
    </xf>
    <xf numFmtId="0" fontId="6" fillId="2" borderId="39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right" vertical="center"/>
    </xf>
    <xf numFmtId="0" fontId="13" fillId="3" borderId="41" xfId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/>
    </xf>
    <xf numFmtId="0" fontId="12" fillId="9" borderId="42" xfId="2" applyFont="1" applyFill="1" applyBorder="1" applyAlignment="1" applyProtection="1">
      <alignment horizontal="center" vertical="center"/>
      <protection locked="0"/>
    </xf>
    <xf numFmtId="166" fontId="13" fillId="0" borderId="42" xfId="0" applyNumberFormat="1" applyFont="1" applyBorder="1" applyAlignment="1" applyProtection="1">
      <alignment vertical="center"/>
      <protection hidden="1"/>
    </xf>
    <xf numFmtId="44" fontId="6" fillId="2" borderId="43" xfId="5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166" fontId="6" fillId="2" borderId="42" xfId="0" applyNumberFormat="1" applyFont="1" applyFill="1" applyBorder="1" applyAlignment="1">
      <alignment vertical="center"/>
    </xf>
    <xf numFmtId="166" fontId="13" fillId="0" borderId="43" xfId="0" applyNumberFormat="1" applyFont="1" applyBorder="1" applyAlignment="1">
      <alignment vertical="center"/>
    </xf>
    <xf numFmtId="0" fontId="10" fillId="2" borderId="42" xfId="2" applyFont="1" applyFill="1" applyBorder="1" applyAlignment="1">
      <alignment horizontal="right" vertical="center"/>
    </xf>
    <xf numFmtId="166" fontId="13" fillId="0" borderId="42" xfId="0" applyNumberFormat="1" applyFont="1" applyBorder="1" applyAlignment="1">
      <alignment vertical="center"/>
    </xf>
    <xf numFmtId="0" fontId="8" fillId="2" borderId="41" xfId="0" applyFont="1" applyFill="1" applyBorder="1" applyAlignment="1">
      <alignment horizontal="left" vertical="center"/>
    </xf>
    <xf numFmtId="170" fontId="6" fillId="2" borderId="43" xfId="3" applyNumberFormat="1" applyFont="1" applyFill="1" applyBorder="1" applyAlignment="1">
      <alignment horizontal="right" vertical="center"/>
    </xf>
    <xf numFmtId="171" fontId="6" fillId="2" borderId="42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9" fontId="7" fillId="2" borderId="42" xfId="6" applyFont="1" applyFill="1" applyBorder="1" applyAlignment="1">
      <alignment horizontal="center" vertical="center"/>
    </xf>
    <xf numFmtId="44" fontId="7" fillId="2" borderId="43" xfId="5" applyFont="1" applyFill="1" applyBorder="1" applyAlignment="1">
      <alignment horizontal="right" vertical="center"/>
    </xf>
    <xf numFmtId="165" fontId="7" fillId="2" borderId="42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center"/>
    </xf>
    <xf numFmtId="165" fontId="7" fillId="2" borderId="45" xfId="0" applyNumberFormat="1" applyFont="1" applyFill="1" applyBorder="1" applyAlignment="1">
      <alignment horizontal="center" vertical="center"/>
    </xf>
    <xf numFmtId="44" fontId="14" fillId="6" borderId="46" xfId="7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73" fontId="0" fillId="0" borderId="0" xfId="6" applyNumberFormat="1" applyFont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44" fontId="19" fillId="0" borderId="5" xfId="3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4" fontId="23" fillId="0" borderId="5" xfId="5" applyFont="1" applyBorder="1" applyAlignment="1">
      <alignment horizontal="center" vertical="center"/>
    </xf>
    <xf numFmtId="44" fontId="23" fillId="0" borderId="6" xfId="5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167" fontId="21" fillId="8" borderId="49" xfId="2" applyNumberFormat="1" applyFont="1" applyFill="1" applyBorder="1" applyAlignment="1" applyProtection="1">
      <alignment horizontal="center" vertical="center"/>
    </xf>
    <xf numFmtId="165" fontId="13" fillId="3" borderId="50" xfId="1" applyNumberFormat="1" applyFont="1" applyFill="1" applyBorder="1" applyAlignment="1">
      <alignment horizontal="center" vertical="center"/>
    </xf>
    <xf numFmtId="44" fontId="13" fillId="3" borderId="5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center" vertical="center"/>
    </xf>
    <xf numFmtId="1" fontId="29" fillId="0" borderId="2" xfId="5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49" fontId="12" fillId="9" borderId="40" xfId="2" applyNumberFormat="1" applyFont="1" applyFill="1" applyBorder="1" applyAlignment="1" applyProtection="1">
      <alignment horizontal="center" vertical="center"/>
      <protection locked="0"/>
    </xf>
    <xf numFmtId="166" fontId="4" fillId="0" borderId="2" xfId="5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6" fontId="4" fillId="8" borderId="2" xfId="5" applyNumberFormat="1" applyFont="1" applyFill="1" applyBorder="1" applyAlignment="1">
      <alignment horizontal="center" vertical="center" wrapText="1"/>
    </xf>
    <xf numFmtId="0" fontId="32" fillId="3" borderId="7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/>
    </xf>
    <xf numFmtId="44" fontId="13" fillId="0" borderId="42" xfId="5" applyFont="1" applyBorder="1" applyAlignment="1">
      <alignment vertical="center"/>
    </xf>
    <xf numFmtId="44" fontId="12" fillId="9" borderId="42" xfId="5" applyFont="1" applyFill="1" applyBorder="1" applyAlignment="1" applyProtection="1">
      <alignment horizontal="center" vertical="center"/>
      <protection locked="0"/>
    </xf>
    <xf numFmtId="44" fontId="12" fillId="9" borderId="43" xfId="5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horizontal="center" vertical="center"/>
    </xf>
    <xf numFmtId="1" fontId="29" fillId="0" borderId="4" xfId="5" applyNumberFormat="1" applyFont="1" applyBorder="1" applyAlignment="1">
      <alignment horizontal="center" vertical="center"/>
    </xf>
    <xf numFmtId="0" fontId="35" fillId="2" borderId="41" xfId="0" applyFont="1" applyFill="1" applyBorder="1" applyAlignment="1">
      <alignment horizontal="left" vertical="center"/>
    </xf>
    <xf numFmtId="44" fontId="36" fillId="2" borderId="43" xfId="5" applyFont="1" applyFill="1" applyBorder="1" applyAlignment="1">
      <alignment horizontal="right" vertical="center"/>
    </xf>
    <xf numFmtId="10" fontId="34" fillId="9" borderId="42" xfId="6" applyNumberFormat="1" applyFont="1" applyFill="1" applyBorder="1" applyAlignment="1" applyProtection="1">
      <alignment horizontal="center" vertical="center"/>
      <protection locked="0"/>
    </xf>
    <xf numFmtId="0" fontId="33" fillId="9" borderId="42" xfId="2" applyFont="1" applyFill="1" applyBorder="1" applyAlignment="1" applyProtection="1">
      <alignment horizontal="center" vertical="center"/>
      <protection locked="0"/>
    </xf>
    <xf numFmtId="0" fontId="34" fillId="8" borderId="42" xfId="2" applyFont="1" applyFill="1" applyBorder="1" applyAlignment="1" applyProtection="1">
      <alignment horizontal="center" vertical="center"/>
    </xf>
    <xf numFmtId="0" fontId="0" fillId="3" borderId="9" xfId="0" quotePrefix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4" fontId="0" fillId="0" borderId="5" xfId="5" applyFont="1" applyBorder="1" applyAlignment="1">
      <alignment horizontal="center" vertical="center"/>
    </xf>
    <xf numFmtId="44" fontId="0" fillId="0" borderId="6" xfId="5" applyFont="1" applyBorder="1" applyAlignment="1">
      <alignment horizontal="center" vertical="center"/>
    </xf>
    <xf numFmtId="44" fontId="11" fillId="0" borderId="2" xfId="3" applyFont="1" applyBorder="1" applyAlignment="1">
      <alignment horizontal="center" vertical="center"/>
    </xf>
    <xf numFmtId="44" fontId="1" fillId="0" borderId="2" xfId="3" applyFont="1" applyBorder="1" applyAlignment="1">
      <alignment horizontal="center" vertical="center"/>
    </xf>
    <xf numFmtId="44" fontId="11" fillId="0" borderId="4" xfId="3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4" fontId="6" fillId="0" borderId="0" xfId="5" applyFont="1" applyAlignment="1">
      <alignment horizontal="center" vertical="center"/>
    </xf>
    <xf numFmtId="0" fontId="32" fillId="3" borderId="9" xfId="8" applyFill="1" applyBorder="1" applyAlignment="1">
      <alignment horizontal="center" vertical="center"/>
    </xf>
    <xf numFmtId="0" fontId="32" fillId="3" borderId="36" xfId="8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30" fillId="8" borderId="3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6" fontId="4" fillId="8" borderId="4" xfId="5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44" fontId="4" fillId="3" borderId="10" xfId="5" applyFont="1" applyFill="1" applyBorder="1" applyAlignment="1">
      <alignment horizontal="center" vertical="center" wrapText="1"/>
    </xf>
    <xf numFmtId="44" fontId="0" fillId="0" borderId="0" xfId="5" applyFont="1" applyAlignment="1">
      <alignment horizontal="right" vertical="center" wrapText="1"/>
    </xf>
    <xf numFmtId="166" fontId="4" fillId="0" borderId="5" xfId="5" applyNumberFormat="1" applyFont="1" applyBorder="1" applyAlignment="1">
      <alignment horizontal="center" vertical="center" wrapText="1"/>
    </xf>
    <xf numFmtId="166" fontId="4" fillId="0" borderId="6" xfId="5" applyNumberFormat="1" applyFont="1" applyBorder="1" applyAlignment="1">
      <alignment horizontal="center" vertical="center" wrapText="1"/>
    </xf>
    <xf numFmtId="44" fontId="19" fillId="0" borderId="2" xfId="5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0" xfId="0" quotePrefix="1" applyFill="1" applyBorder="1" applyAlignment="1">
      <alignment horizontal="center" vertical="center"/>
    </xf>
    <xf numFmtId="14" fontId="26" fillId="7" borderId="9" xfId="0" quotePrefix="1" applyNumberFormat="1" applyFont="1" applyFill="1" applyBorder="1" applyAlignment="1">
      <alignment horizontal="center" vertical="center"/>
    </xf>
    <xf numFmtId="44" fontId="0" fillId="0" borderId="2" xfId="5" applyFont="1" applyBorder="1" applyAlignment="1">
      <alignment horizontal="center" vertical="center"/>
    </xf>
    <xf numFmtId="44" fontId="0" fillId="0" borderId="4" xfId="5" applyFont="1" applyBorder="1" applyAlignment="1">
      <alignment horizontal="center" vertical="center"/>
    </xf>
    <xf numFmtId="0" fontId="0" fillId="7" borderId="10" xfId="0" quotePrefix="1" applyFill="1" applyBorder="1" applyAlignment="1">
      <alignment horizontal="center" vertical="center"/>
    </xf>
    <xf numFmtId="165" fontId="19" fillId="0" borderId="2" xfId="5" applyNumberFormat="1" applyFont="1" applyBorder="1" applyAlignment="1">
      <alignment horizontal="center" vertical="center"/>
    </xf>
    <xf numFmtId="165" fontId="19" fillId="0" borderId="4" xfId="5" applyNumberFormat="1" applyFont="1" applyBorder="1" applyAlignment="1">
      <alignment horizontal="center" vertical="center"/>
    </xf>
    <xf numFmtId="0" fontId="0" fillId="7" borderId="9" xfId="0" quotePrefix="1" applyFill="1" applyBorder="1" applyAlignment="1">
      <alignment horizontal="center"/>
    </xf>
    <xf numFmtId="166" fontId="23" fillId="0" borderId="2" xfId="5" applyNumberFormat="1" applyFont="1" applyBorder="1" applyAlignment="1">
      <alignment horizontal="center" vertical="center"/>
    </xf>
    <xf numFmtId="44" fontId="23" fillId="0" borderId="2" xfId="5" applyFont="1" applyBorder="1" applyAlignment="1">
      <alignment horizontal="center" vertical="center"/>
    </xf>
    <xf numFmtId="0" fontId="26" fillId="7" borderId="9" xfId="0" quotePrefix="1" applyFont="1" applyFill="1" applyBorder="1" applyAlignment="1">
      <alignment horizontal="center" vertical="center"/>
    </xf>
    <xf numFmtId="44" fontId="23" fillId="0" borderId="4" xfId="5" applyFont="1" applyBorder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3" borderId="7" xfId="8" applyFill="1" applyBorder="1" applyAlignment="1">
      <alignment horizontal="center" vertical="center"/>
    </xf>
    <xf numFmtId="0" fontId="0" fillId="10" borderId="22" xfId="0" applyFill="1" applyBorder="1"/>
    <xf numFmtId="165" fontId="19" fillId="0" borderId="5" xfId="5" applyNumberFormat="1" applyFont="1" applyBorder="1" applyAlignment="1">
      <alignment horizontal="center" vertical="center"/>
    </xf>
    <xf numFmtId="165" fontId="19" fillId="0" borderId="6" xfId="5" applyNumberFormat="1" applyFont="1" applyBorder="1" applyAlignment="1">
      <alignment horizontal="center" vertical="center"/>
    </xf>
    <xf numFmtId="0" fontId="32" fillId="7" borderId="7" xfId="8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10" borderId="9" xfId="0" quotePrefix="1" applyFill="1" applyBorder="1" applyAlignment="1">
      <alignment horizontal="center" vertical="center"/>
    </xf>
    <xf numFmtId="0" fontId="0" fillId="10" borderId="10" xfId="0" quotePrefix="1" applyFill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27" fillId="0" borderId="1" xfId="0" quotePrefix="1" applyNumberFormat="1" applyFont="1" applyBorder="1" applyAlignment="1">
      <alignment horizontal="center" vertical="center"/>
    </xf>
    <xf numFmtId="49" fontId="27" fillId="0" borderId="3" xfId="0" quotePrefix="1" applyNumberFormat="1" applyFont="1" applyBorder="1" applyAlignment="1">
      <alignment horizontal="center" vertical="center"/>
    </xf>
    <xf numFmtId="10" fontId="4" fillId="0" borderId="4" xfId="6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0" fillId="0" borderId="6" xfId="5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9">
    <cellStyle name="20 % - Accent1" xfId="1" builtinId="30"/>
    <cellStyle name="60 % - Accent1" xfId="2" builtinId="32"/>
    <cellStyle name="Euro" xfId="3" xr:uid="{00000000-0005-0000-0000-000002000000}"/>
    <cellStyle name="Lien hypertexte" xfId="8" builtinId="8"/>
    <cellStyle name="Milliers" xfId="4" builtinId="3"/>
    <cellStyle name="Monétaire" xfId="5" builtinId="4"/>
    <cellStyle name="Normal" xfId="0" builtinId="0"/>
    <cellStyle name="Pourcentage" xfId="6" builtinId="5"/>
    <cellStyle name="Sortie" xfId="7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87615</xdr:colOff>
      <xdr:row>3</xdr:row>
      <xdr:rowOff>114300</xdr:rowOff>
    </xdr:from>
    <xdr:to>
      <xdr:col>9</xdr:col>
      <xdr:colOff>669923</xdr:colOff>
      <xdr:row>7</xdr:row>
      <xdr:rowOff>279399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E2829F-CC5A-40BC-8C42-3642C409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815" y="1095375"/>
          <a:ext cx="3106433" cy="1308099"/>
        </a:xfrm>
        <a:prstGeom prst="rect">
          <a:avLst/>
        </a:prstGeom>
      </xdr:spPr>
    </xdr:pic>
    <xdr:clientData/>
  </xdr:twoCellAnchor>
  <xdr:twoCellAnchor editAs="oneCell">
    <xdr:from>
      <xdr:col>2</xdr:col>
      <xdr:colOff>335265</xdr:colOff>
      <xdr:row>0</xdr:row>
      <xdr:rowOff>28575</xdr:rowOff>
    </xdr:from>
    <xdr:to>
      <xdr:col>3</xdr:col>
      <xdr:colOff>390524</xdr:colOff>
      <xdr:row>1</xdr:row>
      <xdr:rowOff>3174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4520C4F-3082-4200-A31A-860238DF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140" y="28575"/>
          <a:ext cx="1045859" cy="43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loda/id/JORFTEXT000034517413/2023-04-02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legifrance.gouv.fr/loda/id/JORFTEXT000000872483/2024-01-01/" TargetMode="External"/><Relationship Id="rId7" Type="http://schemas.openxmlformats.org/officeDocument/2006/relationships/hyperlink" Target="https://www.legifrance.gouv.fr/loda/id/JORFTEXT000034517413/2023-04-02/" TargetMode="External"/><Relationship Id="rId2" Type="http://schemas.openxmlformats.org/officeDocument/2006/relationships/hyperlink" Target="https://www.legifrance.gouv.fr/affichTexte.do?cidTexte=JORFTEXT000000225204&amp;dateTexte=&amp;categorieLien=id" TargetMode="External"/><Relationship Id="rId1" Type="http://schemas.openxmlformats.org/officeDocument/2006/relationships/hyperlink" Target="https://www.legifrance.gouv.fr/loda/id/JORFTEXT000034517512/2023-04-02/" TargetMode="External"/><Relationship Id="rId6" Type="http://schemas.openxmlformats.org/officeDocument/2006/relationships/hyperlink" Target="https://www.legifrance.gouv.fr/loda/id/JORFTEXT000033702600/" TargetMode="External"/><Relationship Id="rId5" Type="http://schemas.openxmlformats.org/officeDocument/2006/relationships/hyperlink" Target="https://www.legifrance.gouv.fr/loda/id/JORFTEXT000034517413/2023-04-02/" TargetMode="External"/><Relationship Id="rId4" Type="http://schemas.openxmlformats.org/officeDocument/2006/relationships/hyperlink" Target="https://www.legifrance.gouv.fr/loda/id/JORFTEXT000034517413/2023-04-02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3" tint="-0.249977111117893"/>
  </sheetPr>
  <dimension ref="A1:L40"/>
  <sheetViews>
    <sheetView topLeftCell="A4" workbookViewId="0">
      <selection activeCell="C22" sqref="C22"/>
    </sheetView>
  </sheetViews>
  <sheetFormatPr baseColWidth="10" defaultColWidth="11.42578125" defaultRowHeight="21" customHeight="1" x14ac:dyDescent="0.25"/>
  <cols>
    <col min="1" max="1" width="41.85546875" style="14" customWidth="1"/>
    <col min="2" max="2" width="53.42578125" style="14" customWidth="1"/>
    <col min="3" max="3" width="14.85546875" style="14" customWidth="1"/>
    <col min="4" max="4" width="11.42578125" style="15" customWidth="1"/>
    <col min="5" max="5" width="7" style="14" customWidth="1"/>
    <col min="6" max="6" width="13.7109375" style="14" customWidth="1"/>
    <col min="7" max="7" width="11.42578125" style="14"/>
    <col min="8" max="8" width="12.7109375" style="14" customWidth="1"/>
    <col min="9" max="9" width="26.42578125" style="14" hidden="1" customWidth="1"/>
    <col min="10" max="10" width="11.42578125" style="14" customWidth="1"/>
    <col min="11" max="16384" width="11.42578125" style="14"/>
  </cols>
  <sheetData>
    <row r="1" spans="1:12" ht="36.75" customHeight="1" x14ac:dyDescent="0.25">
      <c r="A1" s="64" t="s">
        <v>134</v>
      </c>
      <c r="B1" s="113" t="s">
        <v>246</v>
      </c>
      <c r="C1" s="102"/>
      <c r="D1" s="103"/>
      <c r="E1" s="140" t="s">
        <v>215</v>
      </c>
      <c r="F1" s="140">
        <f>VLOOKUP(B1,l_tauxPC,8,FALSE)</f>
        <v>366</v>
      </c>
    </row>
    <row r="2" spans="1:12" ht="19.5" customHeight="1" x14ac:dyDescent="0.25">
      <c r="A2" s="65" t="s">
        <v>51</v>
      </c>
      <c r="B2" s="104">
        <f>VLOOKUP(B1,l_tauxPC,3,FALSE)</f>
        <v>4.9227833333333333</v>
      </c>
      <c r="C2" s="107" t="s">
        <v>135</v>
      </c>
      <c r="D2" s="108">
        <f>IF(TRUNC((VLOOKUP(B4,L_gradeindicetech,(VLOOKUP(B1,l_tauxPC,5,FALSE)),FALSE)),2)&lt;F1,F1,TRUNC((VLOOKUP(B4,L_gradeindicetech,(VLOOKUP(B1,l_tauxPC,5,FALSE)),FALSE)),2))</f>
        <v>617</v>
      </c>
      <c r="E2" s="132" t="str">
        <f>IF(TRUNC((VLOOKUP(B4,L_gradeindicetech,(VLOOKUP(B1,l_tauxPC,5,FALSE)),FALSE)),2)&lt;F1," l'IM ne peut être inférieur à " &amp; F1 &amp; ", l'IM a été remonté à " &amp;F1,"")</f>
        <v/>
      </c>
      <c r="F2" s="124"/>
    </row>
    <row r="3" spans="1:12" ht="21" customHeight="1" thickBot="1" x14ac:dyDescent="0.3">
      <c r="A3" s="66" t="s">
        <v>54</v>
      </c>
      <c r="B3" s="67" t="s">
        <v>26</v>
      </c>
      <c r="C3" s="105" t="s">
        <v>6</v>
      </c>
      <c r="D3" s="106" t="s">
        <v>7</v>
      </c>
    </row>
    <row r="4" spans="1:12" ht="22.5" customHeight="1" thickTop="1" x14ac:dyDescent="0.25">
      <c r="A4" s="68" t="s">
        <v>57</v>
      </c>
      <c r="B4" s="69" t="s">
        <v>23</v>
      </c>
      <c r="C4" s="70">
        <f>B2*D2</f>
        <v>3037.3573166666665</v>
      </c>
      <c r="D4" s="71"/>
      <c r="E4" s="15"/>
      <c r="F4" s="194" t="s">
        <v>204</v>
      </c>
      <c r="G4" s="195"/>
      <c r="H4" s="195"/>
      <c r="I4" s="196"/>
      <c r="J4" s="197"/>
    </row>
    <row r="5" spans="1:12" ht="22.5" customHeight="1" x14ac:dyDescent="0.25">
      <c r="A5" s="68" t="s">
        <v>58</v>
      </c>
      <c r="B5" s="72" t="str">
        <f>(VLOOKUP(B1,l_tauxPC,2,FALSE))*100 &amp;  " % du salaire brut"</f>
        <v>11,1 % du salaire brut</v>
      </c>
      <c r="C5" s="73"/>
      <c r="D5" s="74">
        <f>(VLOOKUP(B1,l_tauxPC,2,FALSE))*C4</f>
        <v>337.14666215</v>
      </c>
      <c r="F5" s="198"/>
      <c r="G5" s="199"/>
      <c r="H5" s="199"/>
      <c r="I5" s="200"/>
      <c r="J5" s="201"/>
    </row>
    <row r="6" spans="1:12" ht="22.5" customHeight="1" x14ac:dyDescent="0.25">
      <c r="A6" s="68" t="s">
        <v>225</v>
      </c>
      <c r="B6" s="75" t="s">
        <v>52</v>
      </c>
      <c r="C6" s="122">
        <v>59.4</v>
      </c>
      <c r="D6" s="71"/>
      <c r="F6" s="198"/>
      <c r="G6" s="199"/>
      <c r="H6" s="199"/>
      <c r="I6" s="200"/>
      <c r="J6" s="201"/>
    </row>
    <row r="7" spans="1:12" ht="22.5" customHeight="1" x14ac:dyDescent="0.25">
      <c r="A7" s="68" t="s">
        <v>59</v>
      </c>
      <c r="B7" s="72" t="str">
        <f xml:space="preserve"> (VLOOKUP(B1,l_tauxPC,2,FALSE))*100 &amp;  " % de la NBI"</f>
        <v>11,1 % de la NBI</v>
      </c>
      <c r="C7" s="73"/>
      <c r="D7" s="74">
        <f>(VLOOKUP(B1,l_tauxPC,2,FALSE))*C9</f>
        <v>40.981200000000001</v>
      </c>
      <c r="F7" s="198"/>
      <c r="G7" s="199"/>
      <c r="H7" s="199"/>
      <c r="I7" s="200"/>
      <c r="J7" s="201"/>
    </row>
    <row r="8" spans="1:12" ht="22.5" customHeight="1" x14ac:dyDescent="0.25">
      <c r="A8" s="68" t="s">
        <v>60</v>
      </c>
      <c r="B8" s="69" t="s">
        <v>1</v>
      </c>
      <c r="C8" s="76">
        <f>TRUNC(IF((VLOOKUP(B8,l_montantresidence,2,FALSE)*(C4+C9))&lt;(VLOOKUP(B8,l_montantresidence,3,FALSE)),
VLOOKUP(B8,l_montantresidence,3,FALSE),(VLOOKUP(B8,l_montantresidence,2,FALSE))*(C4+C9)),2)</f>
        <v>102.19</v>
      </c>
      <c r="D8" s="71"/>
      <c r="F8" s="198"/>
      <c r="G8" s="199"/>
      <c r="H8" s="199"/>
      <c r="I8" s="200"/>
      <c r="J8" s="201"/>
    </row>
    <row r="9" spans="1:12" ht="22.5" customHeight="1" x14ac:dyDescent="0.25">
      <c r="A9" s="68" t="s">
        <v>61</v>
      </c>
      <c r="B9" s="69" t="s">
        <v>38</v>
      </c>
      <c r="C9" s="76">
        <f>TRUNC((VLOOKUP(B9,l_nbi,2,FALSE)*B2),2)</f>
        <v>369.2</v>
      </c>
      <c r="D9" s="71"/>
      <c r="F9" s="198"/>
      <c r="G9" s="199"/>
      <c r="H9" s="199"/>
      <c r="I9" s="200"/>
      <c r="J9" s="201"/>
    </row>
    <row r="10" spans="1:12" ht="22.5" customHeight="1" x14ac:dyDescent="0.25">
      <c r="A10" s="68" t="s">
        <v>62</v>
      </c>
      <c r="B10" s="69" t="s">
        <v>39</v>
      </c>
      <c r="C10" s="76">
        <f>ROUNDDOWN(IF((VLOOKUP(B10,l_supplfamilial,2,FALSE))+(C4+C9)*VLOOKUP(B10,l_supplfamilial,3,FALSE)&lt;=(VLOOKUP(B10,l_supplfamilial,4,FALSE)),
VLOOKUP(B10,l_supplfamilial,4,FALSE),
IF((VLOOKUP(B10,l_supplfamilial,2,FALSE))+(C4+C9)*VLOOKUP(B10,l_supplfamilial,3,FALSE)&gt;(VLOOKUP(B10,l_supplfamilial,5,FALSE)),
VLOOKUP(B10,l_supplfamilial,5,FALSE),VLOOKUP(B10,l_supplfamilial,2,FALSE)+(C4+C9)*VLOOKUP(B10,l_supplfamilial,3,FALSE))),2)</f>
        <v>0</v>
      </c>
      <c r="D10" s="71"/>
      <c r="F10" s="198"/>
      <c r="G10" s="199"/>
      <c r="H10" s="199"/>
      <c r="I10" s="200"/>
      <c r="J10" s="201"/>
    </row>
    <row r="11" spans="1:12" ht="22.5" customHeight="1" x14ac:dyDescent="0.25">
      <c r="A11" s="68" t="s">
        <v>205</v>
      </c>
      <c r="B11" s="69" t="s">
        <v>175</v>
      </c>
      <c r="C11" s="121">
        <f>(VLOOKUP(B11,part_experience,VLOOKUP(B1,l_tauxPC,10,FALSE),FALSE))</f>
        <v>454.72</v>
      </c>
      <c r="D11" s="71"/>
      <c r="F11" s="198"/>
      <c r="G11" s="199"/>
      <c r="H11" s="199"/>
      <c r="I11" s="200"/>
      <c r="J11" s="201"/>
    </row>
    <row r="12" spans="1:12" ht="22.5" customHeight="1" x14ac:dyDescent="0.25">
      <c r="A12" s="68" t="s">
        <v>115</v>
      </c>
      <c r="B12" s="69" t="s">
        <v>131</v>
      </c>
      <c r="C12" s="76">
        <f>(VLOOKUP(B12,l_nb_nuits,2,FALSE))</f>
        <v>0</v>
      </c>
      <c r="D12" s="71"/>
      <c r="F12" s="198"/>
      <c r="G12" s="199"/>
      <c r="H12" s="199"/>
      <c r="I12" s="200"/>
      <c r="J12" s="201"/>
    </row>
    <row r="13" spans="1:12" ht="22.5" customHeight="1" x14ac:dyDescent="0.25">
      <c r="A13" s="68" t="s">
        <v>207</v>
      </c>
      <c r="B13" s="129" t="s">
        <v>190</v>
      </c>
      <c r="C13" s="76">
        <f>(VLOOKUP(B13,l_evsmontant,VLOOKUP(B1,l_tauxPC,7,FALSE),FALSE))</f>
        <v>1591.62</v>
      </c>
      <c r="D13" s="71"/>
      <c r="F13" s="198"/>
      <c r="G13" s="199"/>
      <c r="H13" s="199"/>
      <c r="I13" s="200"/>
      <c r="J13" s="201"/>
    </row>
    <row r="14" spans="1:12" ht="22.5" customHeight="1" x14ac:dyDescent="0.25">
      <c r="A14" s="68" t="s">
        <v>208</v>
      </c>
      <c r="B14" s="69" t="s">
        <v>32</v>
      </c>
      <c r="C14" s="76">
        <f>(VLOOKUP(B14,l_montantpeq,VLOOKUP(B1,l_tauxPC,4,FALSE),FALSE))</f>
        <v>1386.09</v>
      </c>
      <c r="D14" s="71"/>
      <c r="F14" s="198"/>
      <c r="G14" s="199"/>
      <c r="H14" s="199"/>
      <c r="I14" s="200"/>
      <c r="J14" s="201"/>
      <c r="L14" s="15"/>
    </row>
    <row r="15" spans="1:12" ht="22.5" customHeight="1" x14ac:dyDescent="0.25">
      <c r="A15" s="68" t="s">
        <v>147</v>
      </c>
      <c r="B15" s="130"/>
      <c r="C15" s="122">
        <v>53.84</v>
      </c>
      <c r="D15" s="71"/>
      <c r="F15" s="198"/>
      <c r="G15" s="199"/>
      <c r="H15" s="199"/>
      <c r="I15" s="200"/>
      <c r="J15" s="201"/>
    </row>
    <row r="16" spans="1:12" ht="22.5" customHeight="1" x14ac:dyDescent="0.25">
      <c r="A16" s="68" t="s">
        <v>209</v>
      </c>
      <c r="B16" s="69" t="s">
        <v>210</v>
      </c>
      <c r="C16" s="76">
        <f>(VLOOKUP(B16,l_montant_psc,2,FALSE))</f>
        <v>0</v>
      </c>
      <c r="D16" s="71"/>
      <c r="F16" s="198"/>
      <c r="G16" s="199"/>
      <c r="H16" s="199"/>
      <c r="I16" s="200"/>
      <c r="J16" s="201"/>
    </row>
    <row r="17" spans="1:10" ht="22.5" customHeight="1" x14ac:dyDescent="0.25">
      <c r="A17" s="68" t="s">
        <v>249</v>
      </c>
      <c r="B17" s="69" t="s">
        <v>253</v>
      </c>
      <c r="C17" s="76">
        <f>(VLOOKUP(B17,l_montant_CDG,VLOOKUP(B1,l_tauxPC,12,FALSE),FALSE))</f>
        <v>126.06</v>
      </c>
      <c r="D17" s="71"/>
      <c r="F17" s="198"/>
      <c r="G17" s="199"/>
      <c r="H17" s="199"/>
      <c r="I17" s="200"/>
      <c r="J17" s="201"/>
    </row>
    <row r="18" spans="1:10" ht="22.5" customHeight="1" x14ac:dyDescent="0.25">
      <c r="A18" s="68" t="s">
        <v>206</v>
      </c>
      <c r="B18" s="69" t="s">
        <v>254</v>
      </c>
      <c r="C18" s="121">
        <f>(VLOOKUP(B18,Stade_protocole_2016,VLOOKUP(B1,l_tauxPC,11,FALSE),FALSE))</f>
        <v>107.64</v>
      </c>
      <c r="D18" s="71"/>
      <c r="F18" s="198"/>
      <c r="G18" s="199"/>
      <c r="H18" s="199"/>
      <c r="I18" s="200"/>
      <c r="J18" s="201"/>
    </row>
    <row r="19" spans="1:10" ht="22.5" customHeight="1" x14ac:dyDescent="0.25">
      <c r="A19" s="68" t="s">
        <v>251</v>
      </c>
      <c r="B19" s="69" t="s">
        <v>261</v>
      </c>
      <c r="C19" s="76">
        <f>(VLOOKUP(B19,l_montant_prime_géo,2,FALSE))</f>
        <v>163.29</v>
      </c>
      <c r="D19" s="71"/>
      <c r="F19" s="198"/>
      <c r="G19" s="199"/>
      <c r="H19" s="199"/>
      <c r="I19" s="200"/>
      <c r="J19" s="201"/>
    </row>
    <row r="20" spans="1:10" ht="22.5" customHeight="1" x14ac:dyDescent="0.25">
      <c r="A20" s="68" t="s">
        <v>266</v>
      </c>
      <c r="B20" s="69" t="s">
        <v>268</v>
      </c>
      <c r="C20" s="76">
        <f>(VLOOKUP(B20,l_montant_RIT,2,FALSE))</f>
        <v>0</v>
      </c>
      <c r="D20" s="71"/>
      <c r="F20" s="198"/>
      <c r="G20" s="199"/>
      <c r="H20" s="199"/>
      <c r="I20" s="200"/>
      <c r="J20" s="201"/>
    </row>
    <row r="21" spans="1:10" ht="22.5" customHeight="1" x14ac:dyDescent="0.25">
      <c r="A21" s="68" t="s">
        <v>271</v>
      </c>
      <c r="B21" s="69">
        <v>0</v>
      </c>
      <c r="C21" s="76">
        <f>B21*420</f>
        <v>0</v>
      </c>
      <c r="D21" s="71"/>
      <c r="F21" s="198"/>
      <c r="G21" s="199"/>
      <c r="H21" s="199"/>
      <c r="I21" s="200"/>
      <c r="J21" s="201"/>
    </row>
    <row r="22" spans="1:10" ht="22.5" customHeight="1" x14ac:dyDescent="0.25">
      <c r="A22" s="77" t="s">
        <v>211</v>
      </c>
      <c r="B22" s="75"/>
      <c r="C22" s="122">
        <f>300+462+378.18</f>
        <v>1140.18</v>
      </c>
      <c r="D22" s="71"/>
      <c r="F22" s="198"/>
      <c r="G22" s="199"/>
      <c r="H22" s="199"/>
      <c r="I22" s="200"/>
      <c r="J22" s="201"/>
    </row>
    <row r="23" spans="1:10" ht="22.5" customHeight="1" x14ac:dyDescent="0.25">
      <c r="A23" s="68" t="s">
        <v>63</v>
      </c>
      <c r="B23" s="72" t="s">
        <v>105</v>
      </c>
      <c r="C23" s="73"/>
      <c r="D23" s="71">
        <f>ROUND(((C30-C6)-D27)*0.024*0.9825,2)</f>
        <v>200.42</v>
      </c>
      <c r="F23" s="198"/>
      <c r="G23" s="199"/>
      <c r="H23" s="199"/>
      <c r="I23" s="200"/>
      <c r="J23" s="201"/>
    </row>
    <row r="24" spans="1:10" ht="22.5" customHeight="1" x14ac:dyDescent="0.25">
      <c r="A24" s="68" t="s">
        <v>64</v>
      </c>
      <c r="B24" s="72" t="s">
        <v>148</v>
      </c>
      <c r="C24" s="73"/>
      <c r="D24" s="71">
        <f>ROUND(((C30-C6)-D27)*0.068*0.9825,2)</f>
        <v>567.87</v>
      </c>
      <c r="F24" s="198"/>
      <c r="G24" s="199"/>
      <c r="H24" s="199"/>
      <c r="I24" s="200"/>
      <c r="J24" s="201"/>
    </row>
    <row r="25" spans="1:10" ht="22.5" customHeight="1" x14ac:dyDescent="0.25">
      <c r="A25" s="68" t="s">
        <v>65</v>
      </c>
      <c r="B25" s="72" t="s">
        <v>106</v>
      </c>
      <c r="C25" s="73"/>
      <c r="D25" s="71">
        <f>ROUND(((C30-C6)-D27)*0.005*0.9825,2)</f>
        <v>41.76</v>
      </c>
      <c r="F25" s="198"/>
      <c r="G25" s="199"/>
      <c r="H25" s="199"/>
      <c r="I25" s="200"/>
      <c r="J25" s="201"/>
    </row>
    <row r="26" spans="1:10" ht="22.5" customHeight="1" thickBot="1" x14ac:dyDescent="0.3">
      <c r="A26" s="68" t="s">
        <v>66</v>
      </c>
      <c r="B26" s="72" t="s">
        <v>226</v>
      </c>
      <c r="C26" s="73"/>
      <c r="D26" s="78">
        <f>IF((C8+C10+C11+C12+C13+C19+C14+C17+C18+C22+C20+C21)&gt;C4*0.2,C4*0.2*0.05,(C8+C10+C11+C12+C13+C19+C14+C17+C18+C22+C20+C21)*0.05)</f>
        <v>30.373573166666667</v>
      </c>
      <c r="F26" s="202"/>
      <c r="G26" s="203"/>
      <c r="H26" s="203"/>
      <c r="I26" s="204"/>
      <c r="J26" s="205"/>
    </row>
    <row r="27" spans="1:10" ht="22.5" customHeight="1" thickTop="1" x14ac:dyDescent="0.25">
      <c r="A27" s="68" t="s">
        <v>104</v>
      </c>
      <c r="B27" s="72"/>
      <c r="C27" s="73"/>
      <c r="D27" s="78">
        <f>VLOOKUP(B1,l_tauxPC,6,FALSE)</f>
        <v>32.42</v>
      </c>
      <c r="F27" s="89"/>
      <c r="G27" s="90"/>
      <c r="H27" s="31"/>
      <c r="I27" s="31"/>
      <c r="J27" s="31"/>
    </row>
    <row r="28" spans="1:10" ht="22.5" customHeight="1" x14ac:dyDescent="0.25">
      <c r="A28" s="77" t="s">
        <v>53</v>
      </c>
      <c r="B28" s="75" t="s">
        <v>52</v>
      </c>
      <c r="C28" s="73"/>
      <c r="D28" s="123"/>
      <c r="F28" s="31"/>
      <c r="G28" s="31"/>
      <c r="H28" s="31"/>
      <c r="I28" s="31"/>
      <c r="J28" s="31"/>
    </row>
    <row r="29" spans="1:10" ht="22.5" customHeight="1" x14ac:dyDescent="0.25">
      <c r="A29" s="68"/>
      <c r="B29" s="91"/>
      <c r="C29" s="73"/>
      <c r="D29" s="71"/>
      <c r="F29" s="31"/>
      <c r="G29" s="31"/>
      <c r="H29" s="31"/>
      <c r="I29" s="31"/>
      <c r="J29" s="31"/>
    </row>
    <row r="30" spans="1:10" ht="22.5" customHeight="1" x14ac:dyDescent="0.25">
      <c r="A30" s="68" t="s">
        <v>67</v>
      </c>
      <c r="B30" s="91"/>
      <c r="C30" s="79">
        <f>SUM(C4:C22)</f>
        <v>8591.5873166666679</v>
      </c>
      <c r="D30" s="71">
        <f>SUM(D5:D29)</f>
        <v>1250.9714353166667</v>
      </c>
      <c r="F30" s="31"/>
      <c r="G30" s="31"/>
      <c r="H30" s="31"/>
      <c r="I30" s="31"/>
      <c r="J30" s="31"/>
    </row>
    <row r="31" spans="1:10" ht="22.5" customHeight="1" thickBot="1" x14ac:dyDescent="0.3">
      <c r="A31" s="68" t="s">
        <v>68</v>
      </c>
      <c r="B31" s="80" t="s">
        <v>71</v>
      </c>
      <c r="C31" s="73">
        <f>C8+C9+C11+C13+C19+C14+C17+C18+C22+C20+C21</f>
        <v>5440.9900000000007</v>
      </c>
      <c r="D31" s="71"/>
      <c r="F31" s="17"/>
      <c r="G31" s="27"/>
      <c r="H31" s="17"/>
      <c r="I31" s="18"/>
    </row>
    <row r="32" spans="1:10" ht="22.5" customHeight="1" x14ac:dyDescent="0.25">
      <c r="A32" s="68" t="s">
        <v>69</v>
      </c>
      <c r="B32" s="91"/>
      <c r="C32" s="81">
        <f>C31/(C30-C6)</f>
        <v>0.63770165821039093</v>
      </c>
      <c r="D32" s="82"/>
      <c r="G32" s="26"/>
      <c r="H32" s="26"/>
    </row>
    <row r="33" spans="1:8" ht="22.5" customHeight="1" x14ac:dyDescent="0.25">
      <c r="A33" s="68" t="s">
        <v>239</v>
      </c>
      <c r="B33" s="91"/>
      <c r="C33" s="81"/>
      <c r="D33" s="82">
        <f>C30-D30</f>
        <v>7340.6158813500015</v>
      </c>
      <c r="F33" s="141"/>
      <c r="G33" s="26"/>
      <c r="H33" s="26"/>
    </row>
    <row r="34" spans="1:8" ht="22.5" customHeight="1" x14ac:dyDescent="0.25">
      <c r="A34" s="68" t="s">
        <v>149</v>
      </c>
      <c r="B34" s="91"/>
      <c r="C34" s="81"/>
      <c r="D34" s="82">
        <f>C30-D30- C6 +D25+D23</f>
        <v>7523.3958813500021</v>
      </c>
      <c r="F34" s="141"/>
      <c r="G34" s="28"/>
      <c r="H34" s="175"/>
    </row>
    <row r="35" spans="1:8" ht="22.5" customHeight="1" x14ac:dyDescent="0.25">
      <c r="A35" s="126" t="s">
        <v>150</v>
      </c>
      <c r="B35" s="128">
        <v>0.17699999999999999</v>
      </c>
      <c r="C35" s="83"/>
      <c r="D35" s="127">
        <f>-D34*B35</f>
        <v>-1331.6410709989502</v>
      </c>
      <c r="F35" s="141"/>
      <c r="G35" s="26"/>
    </row>
    <row r="36" spans="1:8" ht="22.5" customHeight="1" thickBot="1" x14ac:dyDescent="0.3">
      <c r="A36" s="84" t="s">
        <v>70</v>
      </c>
      <c r="B36" s="85"/>
      <c r="C36" s="86"/>
      <c r="D36" s="87">
        <f>D33+D35</f>
        <v>6008.974810351051</v>
      </c>
      <c r="F36" s="141"/>
      <c r="G36" s="28"/>
    </row>
    <row r="37" spans="1:8" ht="21" customHeight="1" x14ac:dyDescent="0.25">
      <c r="E37" s="15"/>
      <c r="F37" s="16"/>
      <c r="G37" s="15"/>
    </row>
    <row r="38" spans="1:8" ht="21" customHeight="1" x14ac:dyDescent="0.25">
      <c r="A38" s="206" t="s">
        <v>98</v>
      </c>
      <c r="B38" s="206"/>
      <c r="C38" s="206"/>
      <c r="D38" s="15">
        <f>C4*0.75*(1-0.091)</f>
        <v>2070.7183506375</v>
      </c>
      <c r="E38" s="25"/>
      <c r="F38" s="15"/>
      <c r="G38" s="15"/>
      <c r="H38" s="15"/>
    </row>
    <row r="39" spans="1:8" ht="21" customHeight="1" x14ac:dyDescent="0.25">
      <c r="C39" s="52" t="s">
        <v>97</v>
      </c>
      <c r="D39" s="53">
        <f>D38/D34</f>
        <v>0.27523719119588974</v>
      </c>
      <c r="E39" s="15"/>
    </row>
    <row r="40" spans="1:8" ht="21" customHeight="1" x14ac:dyDescent="0.25">
      <c r="E40" s="15"/>
    </row>
  </sheetData>
  <sheetProtection algorithmName="SHA-512" hashValue="648kM1WedpsA0i7NLWlTnts/CWziAMwYED3j3NGxlzriolIKnjMSzWue0CShA1nsZyPlr9qrfyc+UxUe7knaCA==" saltValue="amSFjHIjCVY64ixraBLBbA==" spinCount="100000" sheet="1" selectLockedCells="1"/>
  <mergeCells count="2">
    <mergeCell ref="F4:J26"/>
    <mergeCell ref="A38:C38"/>
  </mergeCells>
  <phoneticPr fontId="0" type="noConversion"/>
  <dataValidations xWindow="537" yWindow="209" count="19">
    <dataValidation type="list" allowBlank="1" showInputMessage="1" showErrorMessage="1" errorTitle="ATTENTION" error="Il faut saisir une date ou une période dans la liste !" sqref="B1" xr:uid="{00000000-0002-0000-0000-000000000000}">
      <formula1>l_années</formula1>
    </dataValidation>
    <dataValidation type="list" allowBlank="1" showErrorMessage="1" errorTitle="ATTENTION" error="Il faut sélectionner un élément dans la liste déroulante !" promptTitle="Grade échelon" prompt="Veuillez sélectionner dans la liste votre grade et prénom" sqref="B4" xr:uid="{00000000-0002-0000-0000-000001000000}">
      <formula1>l_grade</formula1>
    </dataValidation>
    <dataValidation type="list" allowBlank="1" showInputMessage="1" showErrorMessage="1" errorTitle="ATTENTION" error="Il faut sélectionner un élément dans la liste déroulante !" sqref="B14:B15" xr:uid="{00000000-0002-0000-0000-000002000000}">
      <formula1>l_peq</formula1>
    </dataValidation>
    <dataValidation type="list" allowBlank="1" showInputMessage="1" showErrorMessage="1" errorTitle="ATTENTION" error="Il faut sélectionner un élément dans la liste déroulante !" sqref="B9" xr:uid="{00000000-0002-0000-0000-000003000000}">
      <formula1>l_ptnbi</formula1>
    </dataValidation>
    <dataValidation type="list" allowBlank="1" showInputMessage="1" showErrorMessage="1" errorTitle="ATTENTION" error="Il faut sélectionner un élément dans la liste déroulante !" sqref="B10" xr:uid="{00000000-0002-0000-0000-000004000000}">
      <formula1>l_nbenfantsacharge</formula1>
    </dataValidation>
    <dataValidation type="decimal" operator="greaterThan" allowBlank="1" showInputMessage="1" showErrorMessage="1" errorTitle="Attention" error="Veuillez saisir une valeur !" sqref="D28" xr:uid="{00000000-0002-0000-0000-000005000000}">
      <formula1>-1</formula1>
    </dataValidation>
    <dataValidation type="decimal" operator="greaterThan" allowBlank="1" showInputMessage="1" showErrorMessage="1" errorTitle="ATTENTION" error="Il faut saisir une valeur !" sqref="B2" xr:uid="{00000000-0002-0000-0000-000006000000}">
      <formula1>0</formula1>
    </dataValidation>
    <dataValidation type="decimal" operator="greaterThan" allowBlank="1" showInputMessage="1" showErrorMessage="1" errorTitle="ATTENTION" error="Veuillez saisir une valeur !" sqref="C11 C6 C18 C22" xr:uid="{00000000-0002-0000-0000-000007000000}">
      <formula1>-1</formula1>
    </dataValidation>
    <dataValidation type="list" allowBlank="1" showInputMessage="1" showErrorMessage="1" errorTitle="ATTENTION" error="Il faut sélectionner un élément dans la liste déroulante !" sqref="B8" xr:uid="{00000000-0002-0000-0000-000009000000}">
      <formula1>l_residence</formula1>
    </dataValidation>
    <dataValidation allowBlank="1" showErrorMessage="1" sqref="A4 A10" xr:uid="{00000000-0002-0000-0000-00000A000000}"/>
    <dataValidation type="list" allowBlank="1" showInputMessage="1" showErrorMessage="1" errorTitle="ATTENTION" error="Il faut sélectionner un élément dans la liste déroulante !" sqref="B17" xr:uid="{00000000-0002-0000-0000-00000B000000}">
      <formula1>l_prime_CDG</formula1>
    </dataValidation>
    <dataValidation type="list" allowBlank="1" showErrorMessage="1" errorTitle="Attention !" error="Il faut sélectionner un élément dans la liste déroulante !" sqref="B18" xr:uid="{00000000-0002-0000-0000-00000C000000}">
      <formula1>L_stades_protocole_2016</formula1>
    </dataValidation>
    <dataValidation type="list" allowBlank="1" showInputMessage="1" showErrorMessage="1" promptTitle="Saisir le nombre de nuits" sqref="B12" xr:uid="{00000000-0002-0000-0000-00000D000000}">
      <formula1>L_nb_de_nuits</formula1>
    </dataValidation>
    <dataValidation type="list" allowBlank="1" showInputMessage="1" showErrorMessage="1" errorTitle="Attention" error="Veulliez choisir un niveau d'EVS dans la liste !" sqref="B13" xr:uid="{00000000-0002-0000-0000-00000E000000}">
      <formula1>L_fonctions</formula1>
    </dataValidation>
    <dataValidation type="list" allowBlank="1" showInputMessage="1" showErrorMessage="1" errorTitle="ATTENTION" error="Il faut sélectionner un élément dans la liste déroulante !" sqref="B11" xr:uid="{00000000-0002-0000-0000-00000F000000}">
      <formula1>l_part_experience</formula1>
    </dataValidation>
    <dataValidation type="list" allowBlank="1" showInputMessage="1" showErrorMessage="1" errorTitle="ATTENTION" error="Il faut sélectionner un élément dans la liste déroulante !" sqref="B16" xr:uid="{00000000-0002-0000-0000-000010000000}">
      <formula1>l_psc</formula1>
    </dataValidation>
    <dataValidation type="list" allowBlank="1" showErrorMessage="1" errorTitle="Attention !" error="Il faut sélectionner un élément dans la liste déroulante !" sqref="B19" xr:uid="{AF6B6956-68C3-4619-B240-FB625E4CC404}">
      <formula1>l_prime_géo</formula1>
    </dataValidation>
    <dataValidation type="list" allowBlank="1" showErrorMessage="1" errorTitle="Attention !" error="Il faut sélectionner un élément dans la liste déroulante !" sqref="B20" xr:uid="{4C759E49-25FE-48ED-894F-F426A7A71684}">
      <formula1>l_RIT</formula1>
    </dataValidation>
    <dataValidation type="decimal" allowBlank="1" showErrorMessage="1" errorTitle="Attention !" error="Il faut sélectionner un élément dans la liste déroulante !" sqref="B21" xr:uid="{2CAFB81A-264E-44E2-85D9-0093F3B41E3D}">
      <formula1>0</formula1>
      <formula2>99</formula2>
    </dataValidation>
  </dataValidations>
  <pageMargins left="0.25" right="0.25" top="0.75" bottom="0.75" header="0.3" footer="0.3"/>
  <pageSetup paperSize="9" scale="79" orientation="portrait" horizontalDpi="4294967294" verticalDpi="4294967294" r:id="rId1"/>
  <headerFooter>
    <oddHeader>&amp;C&amp;"Calibri,Gras"&amp;20&amp;UFiche de paie</oddHeader>
    <oddFooter>&amp;R&amp;F</oddFooter>
  </headerFooter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topLeftCell="B1" workbookViewId="0">
      <selection activeCell="E6" sqref="E6"/>
    </sheetView>
  </sheetViews>
  <sheetFormatPr baseColWidth="10" defaultColWidth="54.42578125" defaultRowHeight="15" x14ac:dyDescent="0.25"/>
  <cols>
    <col min="1" max="1" width="68" style="115" customWidth="1"/>
    <col min="2" max="2" width="55.42578125" style="115" customWidth="1"/>
    <col min="3" max="3" width="20.28515625" style="116" customWidth="1"/>
    <col min="4" max="4" width="18.7109375" style="155" customWidth="1"/>
    <col min="5" max="16384" width="54.42578125" style="115"/>
  </cols>
  <sheetData>
    <row r="1" spans="1:5" ht="60" x14ac:dyDescent="0.25">
      <c r="A1" s="143" t="s">
        <v>199</v>
      </c>
      <c r="B1" s="147" t="s">
        <v>185</v>
      </c>
      <c r="C1" s="148" t="s">
        <v>229</v>
      </c>
      <c r="D1" s="154" t="s">
        <v>230</v>
      </c>
    </row>
    <row r="2" spans="1:5" ht="27" customHeight="1" x14ac:dyDescent="0.25">
      <c r="A2" s="144" t="s">
        <v>35</v>
      </c>
      <c r="B2" s="149" t="s">
        <v>193</v>
      </c>
      <c r="C2" s="114">
        <v>0</v>
      </c>
      <c r="D2" s="156"/>
    </row>
    <row r="3" spans="1:5" ht="27" customHeight="1" x14ac:dyDescent="0.25">
      <c r="A3" s="144" t="s">
        <v>27</v>
      </c>
      <c r="B3" s="149" t="s">
        <v>181</v>
      </c>
      <c r="C3" s="114">
        <v>434.23</v>
      </c>
      <c r="D3" s="156">
        <v>440.74</v>
      </c>
      <c r="E3" s="153"/>
    </row>
    <row r="4" spans="1:5" ht="27" customHeight="1" x14ac:dyDescent="0.25">
      <c r="A4" s="144" t="s">
        <v>28</v>
      </c>
      <c r="B4" s="149" t="s">
        <v>182</v>
      </c>
      <c r="C4" s="114">
        <v>542.79</v>
      </c>
      <c r="D4" s="156">
        <v>550.92999999999995</v>
      </c>
    </row>
    <row r="5" spans="1:5" ht="27" customHeight="1" x14ac:dyDescent="0.25">
      <c r="A5" s="144" t="s">
        <v>29</v>
      </c>
      <c r="B5" s="149" t="s">
        <v>186</v>
      </c>
      <c r="C5" s="114">
        <v>1139.8900000000001</v>
      </c>
      <c r="D5" s="156">
        <v>1156.99</v>
      </c>
    </row>
    <row r="6" spans="1:5" ht="27" customHeight="1" x14ac:dyDescent="0.25">
      <c r="A6" s="144" t="s">
        <v>140</v>
      </c>
      <c r="B6" s="149" t="s">
        <v>187</v>
      </c>
      <c r="C6" s="114">
        <v>1302.72</v>
      </c>
      <c r="D6" s="156">
        <v>1322.26</v>
      </c>
    </row>
    <row r="7" spans="1:5" ht="27" customHeight="1" x14ac:dyDescent="0.25">
      <c r="A7" s="144" t="s">
        <v>137</v>
      </c>
      <c r="B7" s="149" t="s">
        <v>188</v>
      </c>
      <c r="C7" s="114">
        <v>1411.27</v>
      </c>
      <c r="D7" s="156">
        <v>1432.44</v>
      </c>
    </row>
    <row r="8" spans="1:5" ht="27" customHeight="1" x14ac:dyDescent="0.25">
      <c r="A8" s="144" t="s">
        <v>138</v>
      </c>
      <c r="B8" s="149" t="s">
        <v>189</v>
      </c>
      <c r="C8" s="114">
        <v>1495.72</v>
      </c>
      <c r="D8" s="156">
        <v>1518.16</v>
      </c>
    </row>
    <row r="9" spans="1:5" ht="35.25" customHeight="1" x14ac:dyDescent="0.25">
      <c r="A9" s="144" t="s">
        <v>139</v>
      </c>
      <c r="B9" s="149" t="s">
        <v>190</v>
      </c>
      <c r="C9" s="114">
        <v>1568.1</v>
      </c>
      <c r="D9" s="156">
        <v>1591.62</v>
      </c>
    </row>
    <row r="10" spans="1:5" ht="56.25" x14ac:dyDescent="0.25">
      <c r="A10" s="144" t="s">
        <v>141</v>
      </c>
      <c r="B10" s="149" t="s">
        <v>191</v>
      </c>
      <c r="C10" s="114">
        <v>1676.66</v>
      </c>
      <c r="D10" s="156">
        <v>1701.81</v>
      </c>
    </row>
    <row r="11" spans="1:5" ht="67.5" x14ac:dyDescent="0.25">
      <c r="A11" s="144" t="s">
        <v>183</v>
      </c>
      <c r="B11" s="149" t="s">
        <v>192</v>
      </c>
      <c r="C11" s="114">
        <v>1749.04</v>
      </c>
      <c r="D11" s="156">
        <v>1775.28</v>
      </c>
    </row>
    <row r="12" spans="1:5" ht="78.75" x14ac:dyDescent="0.25">
      <c r="A12" s="145" t="s">
        <v>145</v>
      </c>
      <c r="B12" s="150" t="s">
        <v>194</v>
      </c>
      <c r="C12" s="117">
        <v>1850.74</v>
      </c>
      <c r="D12" s="156">
        <v>1878.5</v>
      </c>
    </row>
    <row r="13" spans="1:5" ht="27" customHeight="1" x14ac:dyDescent="0.25">
      <c r="A13" s="145" t="s">
        <v>143</v>
      </c>
      <c r="B13" s="150" t="s">
        <v>180</v>
      </c>
      <c r="C13" s="117">
        <v>1907.79</v>
      </c>
      <c r="D13" s="156">
        <v>1936.41</v>
      </c>
    </row>
    <row r="14" spans="1:5" ht="27" customHeight="1" x14ac:dyDescent="0.25">
      <c r="A14" s="145" t="s">
        <v>144</v>
      </c>
      <c r="B14" s="150" t="s">
        <v>179</v>
      </c>
      <c r="C14" s="117">
        <v>1850.74</v>
      </c>
      <c r="D14" s="156">
        <v>1878.5</v>
      </c>
    </row>
    <row r="15" spans="1:5" ht="33.75" x14ac:dyDescent="0.25">
      <c r="A15" s="145" t="s">
        <v>142</v>
      </c>
      <c r="B15" s="150" t="s">
        <v>195</v>
      </c>
      <c r="C15" s="117">
        <v>1907.79</v>
      </c>
      <c r="D15" s="156">
        <v>1936.41</v>
      </c>
    </row>
    <row r="16" spans="1:5" ht="33.75" x14ac:dyDescent="0.25">
      <c r="A16" s="145" t="s">
        <v>136</v>
      </c>
      <c r="B16" s="150" t="s">
        <v>180</v>
      </c>
      <c r="C16" s="117">
        <v>1907.79</v>
      </c>
      <c r="D16" s="156">
        <v>1936.41</v>
      </c>
    </row>
    <row r="17" spans="1:4" ht="34.5" thickBot="1" x14ac:dyDescent="0.3">
      <c r="A17" s="146" t="s">
        <v>146</v>
      </c>
      <c r="B17" s="151" t="s">
        <v>196</v>
      </c>
      <c r="C17" s="152">
        <v>1964.85</v>
      </c>
      <c r="D17" s="157">
        <v>1994.32</v>
      </c>
    </row>
  </sheetData>
  <sheetProtection algorithmName="SHA-512" hashValue="k3odyFlMJAZKDZg8uJx8BupOsvjP+cbtedDxePxhSYwh1i7IMhpTMlt/vyr4qIn0s6/qEi37YxF2iEf1rYf34g==" saltValue="P0S+hQgvB3opkxqe0e3QVw==" spinCount="100000" sheet="1" objects="1" scenarios="1"/>
  <phoneticPr fontId="37" type="noConversion"/>
  <hyperlinks>
    <hyperlink ref="A1" r:id="rId1" display="https://www.legifrance.gouv.fr/loda/id/JORFTEXT000034517413/2023-04-02/" xr:uid="{00000000-0004-0000-0100-000000000000}"/>
  </hyperlinks>
  <pageMargins left="0.25" right="0.25" top="0.75" bottom="0.75" header="0.3" footer="0.3"/>
  <pageSetup paperSize="9" scale="80" fitToHeight="0" orientation="landscape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3" tint="0.59999389629810485"/>
    <pageSetUpPr fitToPage="1"/>
  </sheetPr>
  <dimension ref="B1:O103"/>
  <sheetViews>
    <sheetView topLeftCell="F1" zoomScale="85" zoomScaleNormal="85" zoomScalePageLayoutView="85" workbookViewId="0">
      <selection activeCell="O32" sqref="O32"/>
    </sheetView>
  </sheetViews>
  <sheetFormatPr baseColWidth="10" defaultColWidth="11.42578125" defaultRowHeight="15" x14ac:dyDescent="0.25"/>
  <cols>
    <col min="1" max="1" width="4.85546875" style="31" customWidth="1"/>
    <col min="2" max="2" width="35.42578125" style="31" bestFit="1" customWidth="1"/>
    <col min="3" max="3" width="21.85546875" style="31" bestFit="1" customWidth="1"/>
    <col min="4" max="4" width="15.42578125" style="31" bestFit="1" customWidth="1"/>
    <col min="5" max="5" width="13.85546875" style="29" customWidth="1"/>
    <col min="6" max="6" width="17.140625" style="31" customWidth="1"/>
    <col min="7" max="7" width="14.7109375" style="31" customWidth="1"/>
    <col min="8" max="8" width="68" style="31" bestFit="1" customWidth="1"/>
    <col min="9" max="9" width="25.85546875" style="29" customWidth="1"/>
    <col min="10" max="13" width="11.42578125" style="31"/>
    <col min="14" max="14" width="17" style="29" customWidth="1"/>
    <col min="15" max="15" width="11.42578125" style="29"/>
    <col min="16" max="16384" width="11.42578125" style="31"/>
  </cols>
  <sheetData>
    <row r="1" spans="2:15" x14ac:dyDescent="0.25">
      <c r="C1" s="49"/>
      <c r="D1" s="29"/>
      <c r="E1" s="49"/>
    </row>
    <row r="2" spans="2:15" ht="15.75" thickBot="1" x14ac:dyDescent="0.3"/>
    <row r="3" spans="2:15" x14ac:dyDescent="0.25">
      <c r="B3" s="98" t="s">
        <v>90</v>
      </c>
      <c r="C3" s="99" t="s">
        <v>151</v>
      </c>
      <c r="D3" s="99" t="s">
        <v>152</v>
      </c>
      <c r="E3" s="142" t="s">
        <v>241</v>
      </c>
      <c r="F3" s="119"/>
      <c r="H3" s="181" t="s">
        <v>174</v>
      </c>
      <c r="I3" s="170" t="s">
        <v>235</v>
      </c>
      <c r="J3" s="167" t="s">
        <v>234</v>
      </c>
      <c r="N3" s="31"/>
      <c r="O3" s="31"/>
    </row>
    <row r="4" spans="2:15" x14ac:dyDescent="0.25">
      <c r="B4" s="1" t="s">
        <v>9</v>
      </c>
      <c r="C4" s="88">
        <v>321</v>
      </c>
      <c r="D4" s="88">
        <v>321</v>
      </c>
      <c r="E4" s="109">
        <f>D4+5</f>
        <v>326</v>
      </c>
      <c r="F4" s="32"/>
      <c r="H4" s="1" t="s">
        <v>176</v>
      </c>
      <c r="I4" s="165">
        <v>267.49</v>
      </c>
      <c r="J4" s="133">
        <v>271.5</v>
      </c>
      <c r="N4" s="31"/>
      <c r="O4" s="31"/>
    </row>
    <row r="5" spans="2:15" x14ac:dyDescent="0.25">
      <c r="B5" s="1" t="s">
        <v>25</v>
      </c>
      <c r="C5" s="88">
        <v>334</v>
      </c>
      <c r="D5" s="88">
        <v>334</v>
      </c>
      <c r="E5" s="109">
        <f t="shared" ref="E5:E64" si="0">D5+5</f>
        <v>339</v>
      </c>
      <c r="F5" s="32"/>
      <c r="H5" s="1" t="s">
        <v>177</v>
      </c>
      <c r="I5" s="165">
        <v>374.11</v>
      </c>
      <c r="J5" s="133">
        <v>379.72</v>
      </c>
      <c r="N5" s="31"/>
      <c r="O5" s="31"/>
    </row>
    <row r="6" spans="2:15" x14ac:dyDescent="0.25">
      <c r="B6" s="1" t="s">
        <v>10</v>
      </c>
      <c r="C6" s="88">
        <v>388</v>
      </c>
      <c r="D6" s="88">
        <v>390</v>
      </c>
      <c r="E6" s="109">
        <f t="shared" si="0"/>
        <v>395</v>
      </c>
      <c r="F6" s="32"/>
      <c r="H6" s="1" t="s">
        <v>175</v>
      </c>
      <c r="I6" s="165">
        <v>448</v>
      </c>
      <c r="J6" s="133">
        <v>454.72</v>
      </c>
      <c r="N6" s="31"/>
      <c r="O6" s="31"/>
    </row>
    <row r="7" spans="2:15" ht="15.75" thickBot="1" x14ac:dyDescent="0.3">
      <c r="B7" s="1" t="s">
        <v>11</v>
      </c>
      <c r="C7" s="88">
        <v>407</v>
      </c>
      <c r="D7" s="88">
        <v>410</v>
      </c>
      <c r="E7" s="109">
        <f t="shared" si="0"/>
        <v>415</v>
      </c>
      <c r="F7" s="32"/>
      <c r="H7" s="6" t="s">
        <v>178</v>
      </c>
      <c r="I7" s="166">
        <v>551.41999999999996</v>
      </c>
      <c r="J7" s="134">
        <v>559.69000000000005</v>
      </c>
      <c r="N7" s="31"/>
      <c r="O7" s="31"/>
    </row>
    <row r="8" spans="2:15" x14ac:dyDescent="0.25">
      <c r="B8" s="1" t="s">
        <v>12</v>
      </c>
      <c r="C8" s="88">
        <v>423</v>
      </c>
      <c r="D8" s="88">
        <v>431</v>
      </c>
      <c r="E8" s="109">
        <f t="shared" si="0"/>
        <v>436</v>
      </c>
      <c r="F8" s="32"/>
      <c r="N8" s="31"/>
      <c r="O8" s="31"/>
    </row>
    <row r="9" spans="2:15" x14ac:dyDescent="0.25">
      <c r="B9" s="1" t="s">
        <v>13</v>
      </c>
      <c r="C9" s="88">
        <v>451</v>
      </c>
      <c r="D9" s="88">
        <v>456</v>
      </c>
      <c r="E9" s="109">
        <f t="shared" si="0"/>
        <v>461</v>
      </c>
      <c r="F9" s="32"/>
      <c r="N9" s="31"/>
      <c r="O9" s="31"/>
    </row>
    <row r="10" spans="2:15" x14ac:dyDescent="0.25">
      <c r="B10" s="1" t="s">
        <v>14</v>
      </c>
      <c r="C10" s="88">
        <v>475</v>
      </c>
      <c r="D10" s="88">
        <v>483</v>
      </c>
      <c r="E10" s="109">
        <f t="shared" si="0"/>
        <v>488</v>
      </c>
      <c r="F10" s="32"/>
      <c r="N10" s="31"/>
      <c r="O10" s="31"/>
    </row>
    <row r="11" spans="2:15" x14ac:dyDescent="0.25">
      <c r="B11" s="1" t="s">
        <v>15</v>
      </c>
      <c r="C11" s="88">
        <v>512</v>
      </c>
      <c r="D11" s="88">
        <v>518</v>
      </c>
      <c r="E11" s="109">
        <f t="shared" si="0"/>
        <v>523</v>
      </c>
      <c r="F11" s="32"/>
      <c r="N11" s="31"/>
      <c r="O11" s="31"/>
    </row>
    <row r="12" spans="2:15" x14ac:dyDescent="0.25">
      <c r="B12" s="1" t="s">
        <v>16</v>
      </c>
      <c r="C12" s="88">
        <v>524</v>
      </c>
      <c r="D12" s="88">
        <v>532</v>
      </c>
      <c r="E12" s="109">
        <f t="shared" si="0"/>
        <v>537</v>
      </c>
      <c r="F12" s="32"/>
      <c r="N12" s="31"/>
      <c r="O12" s="31"/>
    </row>
    <row r="13" spans="2:15" x14ac:dyDescent="0.25">
      <c r="B13" s="1" t="s">
        <v>17</v>
      </c>
      <c r="C13" s="88">
        <v>550</v>
      </c>
      <c r="D13" s="88">
        <v>552</v>
      </c>
      <c r="E13" s="109">
        <f t="shared" si="0"/>
        <v>557</v>
      </c>
      <c r="F13" s="32"/>
      <c r="N13" s="31"/>
      <c r="O13" s="31"/>
    </row>
    <row r="14" spans="2:15" x14ac:dyDescent="0.25">
      <c r="B14" s="1" t="s">
        <v>18</v>
      </c>
      <c r="C14" s="88">
        <v>562</v>
      </c>
      <c r="D14" s="88">
        <v>572</v>
      </c>
      <c r="E14" s="109">
        <f t="shared" si="0"/>
        <v>577</v>
      </c>
      <c r="F14" s="32"/>
      <c r="N14" s="31"/>
      <c r="O14" s="31"/>
    </row>
    <row r="15" spans="2:15" x14ac:dyDescent="0.25">
      <c r="B15" s="1" t="s">
        <v>19</v>
      </c>
      <c r="C15" s="88">
        <v>408</v>
      </c>
      <c r="D15" s="88">
        <v>411</v>
      </c>
      <c r="E15" s="109">
        <f t="shared" si="0"/>
        <v>416</v>
      </c>
      <c r="F15" s="32"/>
      <c r="N15" s="31"/>
      <c r="O15" s="31"/>
    </row>
    <row r="16" spans="2:15" x14ac:dyDescent="0.25">
      <c r="B16" s="1" t="s">
        <v>20</v>
      </c>
      <c r="C16" s="88">
        <v>424</v>
      </c>
      <c r="D16" s="88">
        <v>432</v>
      </c>
      <c r="E16" s="109">
        <f t="shared" si="0"/>
        <v>437</v>
      </c>
      <c r="F16" s="32"/>
      <c r="N16" s="31"/>
      <c r="O16" s="31"/>
    </row>
    <row r="17" spans="2:15" ht="15.75" thickBot="1" x14ac:dyDescent="0.3">
      <c r="B17" s="1" t="s">
        <v>21</v>
      </c>
      <c r="C17" s="88">
        <v>452</v>
      </c>
      <c r="D17" s="88">
        <v>457</v>
      </c>
      <c r="E17" s="109">
        <f t="shared" si="0"/>
        <v>462</v>
      </c>
      <c r="F17" s="32"/>
      <c r="N17" s="31"/>
      <c r="O17" s="31"/>
    </row>
    <row r="18" spans="2:15" ht="60" x14ac:dyDescent="0.25">
      <c r="B18" s="1" t="s">
        <v>153</v>
      </c>
      <c r="C18" s="88">
        <v>476</v>
      </c>
      <c r="D18" s="88">
        <v>484</v>
      </c>
      <c r="E18" s="109">
        <f t="shared" si="0"/>
        <v>489</v>
      </c>
      <c r="F18" s="32"/>
      <c r="H18" s="118" t="s">
        <v>200</v>
      </c>
      <c r="I18" s="131" t="s">
        <v>198</v>
      </c>
      <c r="J18" s="164" t="s">
        <v>234</v>
      </c>
      <c r="K18" s="55">
        <v>45474</v>
      </c>
      <c r="L18" s="56"/>
      <c r="N18" s="31"/>
      <c r="O18" s="31"/>
    </row>
    <row r="19" spans="2:15" x14ac:dyDescent="0.25">
      <c r="B19" s="1" t="s">
        <v>154</v>
      </c>
      <c r="C19" s="88">
        <v>513</v>
      </c>
      <c r="D19" s="88">
        <v>516</v>
      </c>
      <c r="E19" s="109">
        <f t="shared" si="0"/>
        <v>521</v>
      </c>
      <c r="F19" s="32"/>
      <c r="H19" s="57" t="s">
        <v>184</v>
      </c>
      <c r="I19" s="135"/>
      <c r="J19" s="54"/>
      <c r="K19" s="54"/>
      <c r="L19" s="58"/>
      <c r="M19" s="62"/>
      <c r="N19" s="31"/>
      <c r="O19" s="31"/>
    </row>
    <row r="20" spans="2:15" x14ac:dyDescent="0.25">
      <c r="B20" s="1" t="s">
        <v>22</v>
      </c>
      <c r="C20" s="88">
        <v>550</v>
      </c>
      <c r="D20" s="88">
        <v>552</v>
      </c>
      <c r="E20" s="109">
        <f t="shared" si="0"/>
        <v>557</v>
      </c>
      <c r="F20" s="32"/>
      <c r="H20" s="57" t="s">
        <v>34</v>
      </c>
      <c r="I20" s="135">
        <v>175.95</v>
      </c>
      <c r="J20" s="54">
        <v>194.1</v>
      </c>
      <c r="K20" s="54">
        <f>J20+100</f>
        <v>294.10000000000002</v>
      </c>
      <c r="L20" s="58"/>
      <c r="M20" s="62"/>
      <c r="N20" s="193"/>
    </row>
    <row r="21" spans="2:15" x14ac:dyDescent="0.25">
      <c r="B21" s="1" t="s">
        <v>155</v>
      </c>
      <c r="C21" s="88">
        <v>562</v>
      </c>
      <c r="D21" s="88">
        <v>580</v>
      </c>
      <c r="E21" s="109">
        <f t="shared" si="0"/>
        <v>585</v>
      </c>
      <c r="F21" s="32"/>
      <c r="H21" s="57" t="s">
        <v>30</v>
      </c>
      <c r="I21" s="136">
        <v>714.14</v>
      </c>
      <c r="J21" s="54">
        <v>787.81</v>
      </c>
      <c r="K21" s="54">
        <f t="shared" ref="K21:K24" si="1">J21+100</f>
        <v>887.81</v>
      </c>
      <c r="L21" s="58"/>
      <c r="M21" s="62"/>
      <c r="N21" s="193"/>
    </row>
    <row r="22" spans="2:15" x14ac:dyDescent="0.25">
      <c r="B22" s="1" t="s">
        <v>23</v>
      </c>
      <c r="C22" s="88">
        <v>600</v>
      </c>
      <c r="D22" s="88">
        <v>612</v>
      </c>
      <c r="E22" s="109">
        <f t="shared" si="0"/>
        <v>617</v>
      </c>
      <c r="F22" s="32"/>
      <c r="H22" s="57" t="s">
        <v>31</v>
      </c>
      <c r="I22" s="135">
        <v>770.23</v>
      </c>
      <c r="J22" s="54">
        <v>849.69</v>
      </c>
      <c r="K22" s="54">
        <f t="shared" si="1"/>
        <v>949.69</v>
      </c>
      <c r="L22" s="58"/>
      <c r="M22" s="62"/>
      <c r="N22" s="193"/>
    </row>
    <row r="23" spans="2:15" x14ac:dyDescent="0.25">
      <c r="B23" s="1" t="s">
        <v>156</v>
      </c>
      <c r="C23" s="88">
        <v>633</v>
      </c>
      <c r="D23" s="88">
        <v>645</v>
      </c>
      <c r="E23" s="109">
        <f t="shared" si="0"/>
        <v>650</v>
      </c>
      <c r="F23" s="32"/>
      <c r="H23" s="57" t="s">
        <v>33</v>
      </c>
      <c r="I23" s="135">
        <v>1069.3499999999999</v>
      </c>
      <c r="J23" s="54">
        <v>1179.6600000000001</v>
      </c>
      <c r="K23" s="54">
        <f t="shared" si="1"/>
        <v>1279.6600000000001</v>
      </c>
      <c r="L23" s="58"/>
      <c r="M23" s="62"/>
      <c r="N23" s="193"/>
    </row>
    <row r="24" spans="2:15" ht="15.75" thickBot="1" x14ac:dyDescent="0.3">
      <c r="B24" s="1" t="s">
        <v>24</v>
      </c>
      <c r="C24" s="88">
        <v>658</v>
      </c>
      <c r="D24" s="88">
        <v>670</v>
      </c>
      <c r="E24" s="109">
        <f t="shared" si="0"/>
        <v>675</v>
      </c>
      <c r="F24" s="32"/>
      <c r="H24" s="59" t="s">
        <v>32</v>
      </c>
      <c r="I24" s="137">
        <v>1165.82</v>
      </c>
      <c r="J24" s="60">
        <v>1286.0899999999999</v>
      </c>
      <c r="K24" s="54">
        <f t="shared" si="1"/>
        <v>1386.09</v>
      </c>
      <c r="L24" s="61"/>
    </row>
    <row r="25" spans="2:15" ht="15.75" thickBot="1" x14ac:dyDescent="0.3">
      <c r="B25" s="1" t="s">
        <v>157</v>
      </c>
      <c r="C25" s="88">
        <v>680</v>
      </c>
      <c r="D25" s="88">
        <v>685</v>
      </c>
      <c r="E25" s="109">
        <f t="shared" si="0"/>
        <v>690</v>
      </c>
      <c r="F25" s="32"/>
    </row>
    <row r="26" spans="2:15" x14ac:dyDescent="0.25">
      <c r="B26" s="1" t="s">
        <v>158</v>
      </c>
      <c r="C26" s="88">
        <v>709</v>
      </c>
      <c r="D26" s="88">
        <v>725</v>
      </c>
      <c r="E26" s="109">
        <f t="shared" si="0"/>
        <v>730</v>
      </c>
      <c r="F26" s="32"/>
      <c r="H26" s="34" t="s">
        <v>36</v>
      </c>
      <c r="I26" s="35" t="s">
        <v>8</v>
      </c>
    </row>
    <row r="27" spans="2:15" x14ac:dyDescent="0.25">
      <c r="B27" s="1" t="s">
        <v>159</v>
      </c>
      <c r="C27" s="88">
        <v>760</v>
      </c>
      <c r="D27" s="88">
        <v>768</v>
      </c>
      <c r="E27" s="109">
        <f t="shared" si="0"/>
        <v>773</v>
      </c>
      <c r="F27" s="32"/>
      <c r="H27" s="36" t="s">
        <v>37</v>
      </c>
      <c r="I27" s="37">
        <v>0</v>
      </c>
    </row>
    <row r="28" spans="2:15" ht="15.75" thickBot="1" x14ac:dyDescent="0.3">
      <c r="B28" s="1" t="s">
        <v>160</v>
      </c>
      <c r="C28" s="88">
        <v>798</v>
      </c>
      <c r="D28" s="88">
        <v>806</v>
      </c>
      <c r="E28" s="109">
        <f t="shared" si="0"/>
        <v>811</v>
      </c>
      <c r="F28" s="32"/>
      <c r="H28" s="38" t="s">
        <v>38</v>
      </c>
      <c r="I28" s="39">
        <v>75</v>
      </c>
    </row>
    <row r="29" spans="2:15" x14ac:dyDescent="0.25">
      <c r="B29" s="1" t="s">
        <v>161</v>
      </c>
      <c r="C29" s="88">
        <v>830</v>
      </c>
      <c r="D29" s="88">
        <v>830</v>
      </c>
      <c r="E29" s="109">
        <f t="shared" si="0"/>
        <v>835</v>
      </c>
      <c r="F29" s="32"/>
    </row>
    <row r="30" spans="2:15" ht="15.75" thickBot="1" x14ac:dyDescent="0.3">
      <c r="B30" s="1" t="s">
        <v>108</v>
      </c>
      <c r="C30" s="88">
        <v>680</v>
      </c>
      <c r="D30" s="88">
        <v>685</v>
      </c>
      <c r="E30" s="109">
        <f t="shared" si="0"/>
        <v>690</v>
      </c>
      <c r="F30" s="32"/>
    </row>
    <row r="31" spans="2:15" x14ac:dyDescent="0.25">
      <c r="B31" s="1" t="s">
        <v>107</v>
      </c>
      <c r="C31" s="88">
        <v>716</v>
      </c>
      <c r="D31" s="88">
        <v>725</v>
      </c>
      <c r="E31" s="109">
        <f t="shared" si="0"/>
        <v>730</v>
      </c>
      <c r="F31" s="32"/>
      <c r="H31" s="177" t="s">
        <v>55</v>
      </c>
      <c r="I31" s="178" t="s">
        <v>231</v>
      </c>
      <c r="J31" s="163" t="s">
        <v>232</v>
      </c>
    </row>
    <row r="32" spans="2:15" x14ac:dyDescent="0.25">
      <c r="B32" s="1" t="s">
        <v>109</v>
      </c>
      <c r="C32" s="88">
        <v>760</v>
      </c>
      <c r="D32" s="88">
        <v>768</v>
      </c>
      <c r="E32" s="109">
        <f t="shared" si="0"/>
        <v>773</v>
      </c>
      <c r="F32" s="32"/>
      <c r="H32" s="159" t="s">
        <v>56</v>
      </c>
      <c r="I32" s="158">
        <v>0</v>
      </c>
      <c r="J32" s="160">
        <v>0</v>
      </c>
    </row>
    <row r="33" spans="2:10" x14ac:dyDescent="0.25">
      <c r="B33" s="1" t="s">
        <v>110</v>
      </c>
      <c r="C33" s="88">
        <v>798</v>
      </c>
      <c r="D33" s="88">
        <v>806</v>
      </c>
      <c r="E33" s="109">
        <f t="shared" si="0"/>
        <v>811</v>
      </c>
      <c r="F33" s="32"/>
      <c r="H33" s="159" t="s">
        <v>94</v>
      </c>
      <c r="I33" s="168">
        <v>107.26</v>
      </c>
      <c r="J33" s="179">
        <v>108.87</v>
      </c>
    </row>
    <row r="34" spans="2:10" x14ac:dyDescent="0.25">
      <c r="B34" s="1" t="s">
        <v>111</v>
      </c>
      <c r="C34" s="88">
        <v>830</v>
      </c>
      <c r="D34" s="88">
        <v>830</v>
      </c>
      <c r="E34" s="109">
        <f t="shared" si="0"/>
        <v>835</v>
      </c>
      <c r="F34" s="32"/>
      <c r="H34" s="159" t="s">
        <v>95</v>
      </c>
      <c r="I34" s="168">
        <v>160.88</v>
      </c>
      <c r="J34" s="179">
        <v>163.29</v>
      </c>
    </row>
    <row r="35" spans="2:10" ht="15.75" thickBot="1" x14ac:dyDescent="0.3">
      <c r="B35" s="1" t="s">
        <v>112</v>
      </c>
      <c r="C35" s="88">
        <v>890</v>
      </c>
      <c r="D35" s="88">
        <v>890</v>
      </c>
      <c r="E35" s="109">
        <f t="shared" si="0"/>
        <v>895</v>
      </c>
      <c r="F35" s="32"/>
      <c r="H35" s="161" t="s">
        <v>96</v>
      </c>
      <c r="I35" s="169">
        <v>64.36</v>
      </c>
      <c r="J35" s="180">
        <v>65.319999999999993</v>
      </c>
    </row>
    <row r="36" spans="2:10" x14ac:dyDescent="0.25">
      <c r="B36" s="1" t="s">
        <v>113</v>
      </c>
      <c r="C36" s="88">
        <v>925</v>
      </c>
      <c r="D36" s="88">
        <v>925</v>
      </c>
      <c r="E36" s="109">
        <f t="shared" si="0"/>
        <v>930</v>
      </c>
      <c r="F36" s="32"/>
      <c r="I36" s="42"/>
    </row>
    <row r="37" spans="2:10" x14ac:dyDescent="0.25">
      <c r="B37" s="1" t="s">
        <v>114</v>
      </c>
      <c r="C37" s="88">
        <v>972</v>
      </c>
      <c r="D37" s="88">
        <v>972</v>
      </c>
      <c r="E37" s="109">
        <f t="shared" si="0"/>
        <v>977</v>
      </c>
      <c r="F37" s="32"/>
      <c r="G37" s="42"/>
    </row>
    <row r="38" spans="2:10" x14ac:dyDescent="0.25">
      <c r="B38" s="1" t="s">
        <v>162</v>
      </c>
      <c r="C38" s="88">
        <v>552</v>
      </c>
      <c r="D38" s="88">
        <v>552</v>
      </c>
      <c r="E38" s="109">
        <f t="shared" si="0"/>
        <v>557</v>
      </c>
      <c r="F38" s="32"/>
      <c r="G38" s="42"/>
    </row>
    <row r="39" spans="2:10" x14ac:dyDescent="0.25">
      <c r="B39" s="1" t="s">
        <v>163</v>
      </c>
      <c r="C39" s="88">
        <v>589</v>
      </c>
      <c r="D39" s="88">
        <v>589</v>
      </c>
      <c r="E39" s="109">
        <f t="shared" si="0"/>
        <v>594</v>
      </c>
      <c r="F39" s="32"/>
      <c r="G39" s="42"/>
    </row>
    <row r="40" spans="2:10" x14ac:dyDescent="0.25">
      <c r="B40" s="1" t="s">
        <v>164</v>
      </c>
      <c r="C40" s="88">
        <v>623</v>
      </c>
      <c r="D40" s="88">
        <v>623</v>
      </c>
      <c r="E40" s="109">
        <f t="shared" si="0"/>
        <v>628</v>
      </c>
      <c r="F40" s="32"/>
      <c r="G40" s="42"/>
    </row>
    <row r="41" spans="2:10" x14ac:dyDescent="0.25">
      <c r="B41" s="1" t="s">
        <v>165</v>
      </c>
      <c r="C41" s="88">
        <v>655</v>
      </c>
      <c r="D41" s="88">
        <v>655</v>
      </c>
      <c r="E41" s="109">
        <f t="shared" si="0"/>
        <v>660</v>
      </c>
      <c r="F41" s="32"/>
      <c r="G41" s="42"/>
    </row>
    <row r="42" spans="2:10" ht="15.75" thickBot="1" x14ac:dyDescent="0.3">
      <c r="B42" s="1" t="s">
        <v>166</v>
      </c>
      <c r="C42" s="88">
        <v>690</v>
      </c>
      <c r="D42" s="88">
        <v>690</v>
      </c>
      <c r="E42" s="109">
        <f t="shared" si="0"/>
        <v>695</v>
      </c>
      <c r="F42" s="32"/>
      <c r="G42" s="42"/>
    </row>
    <row r="43" spans="2:10" x14ac:dyDescent="0.25">
      <c r="B43" s="1" t="s">
        <v>167</v>
      </c>
      <c r="C43" s="88">
        <v>725</v>
      </c>
      <c r="D43" s="88">
        <v>725</v>
      </c>
      <c r="E43" s="109">
        <f t="shared" si="0"/>
        <v>730</v>
      </c>
      <c r="F43" s="32"/>
      <c r="H43" s="19" t="s">
        <v>116</v>
      </c>
      <c r="I43" s="120" t="s">
        <v>117</v>
      </c>
    </row>
    <row r="44" spans="2:10" x14ac:dyDescent="0.25">
      <c r="B44" s="1" t="s">
        <v>168</v>
      </c>
      <c r="C44" s="88">
        <v>768</v>
      </c>
      <c r="D44" s="88">
        <v>768</v>
      </c>
      <c r="E44" s="109">
        <f t="shared" si="0"/>
        <v>773</v>
      </c>
      <c r="F44" s="32"/>
      <c r="H44" s="1" t="s">
        <v>131</v>
      </c>
      <c r="I44" s="32">
        <v>0</v>
      </c>
    </row>
    <row r="45" spans="2:10" x14ac:dyDescent="0.25">
      <c r="B45" s="1" t="s">
        <v>169</v>
      </c>
      <c r="C45" s="88">
        <v>806</v>
      </c>
      <c r="D45" s="88">
        <v>806</v>
      </c>
      <c r="E45" s="109">
        <f t="shared" si="0"/>
        <v>811</v>
      </c>
      <c r="F45" s="32"/>
      <c r="H45" s="1" t="s">
        <v>118</v>
      </c>
      <c r="I45" s="32">
        <f xml:space="preserve"> (0.8+0.17)*9</f>
        <v>8.73</v>
      </c>
    </row>
    <row r="46" spans="2:10" x14ac:dyDescent="0.25">
      <c r="B46" s="1" t="s">
        <v>79</v>
      </c>
      <c r="C46" s="88">
        <v>612</v>
      </c>
      <c r="D46" s="88">
        <v>612</v>
      </c>
      <c r="E46" s="109">
        <f t="shared" si="0"/>
        <v>617</v>
      </c>
      <c r="F46" s="32"/>
      <c r="H46" s="1" t="s">
        <v>119</v>
      </c>
      <c r="I46" s="92">
        <f>I45+8.73</f>
        <v>17.46</v>
      </c>
    </row>
    <row r="47" spans="2:10" x14ac:dyDescent="0.25">
      <c r="B47" s="1" t="s">
        <v>80</v>
      </c>
      <c r="C47" s="88">
        <v>645</v>
      </c>
      <c r="D47" s="88">
        <v>645</v>
      </c>
      <c r="E47" s="109">
        <f t="shared" si="0"/>
        <v>650</v>
      </c>
      <c r="F47" s="32"/>
      <c r="H47" s="1" t="s">
        <v>120</v>
      </c>
      <c r="I47" s="92">
        <f t="shared" ref="I47:I57" si="2">I46+8.73</f>
        <v>26.19</v>
      </c>
    </row>
    <row r="48" spans="2:10" x14ac:dyDescent="0.25">
      <c r="B48" s="1" t="s">
        <v>81</v>
      </c>
      <c r="C48" s="88">
        <v>679</v>
      </c>
      <c r="D48" s="88">
        <v>679</v>
      </c>
      <c r="E48" s="109">
        <f t="shared" si="0"/>
        <v>684</v>
      </c>
      <c r="F48" s="32"/>
      <c r="H48" s="1" t="s">
        <v>121</v>
      </c>
      <c r="I48" s="92">
        <f t="shared" si="2"/>
        <v>34.92</v>
      </c>
    </row>
    <row r="49" spans="2:10" x14ac:dyDescent="0.25">
      <c r="B49" s="1" t="s">
        <v>82</v>
      </c>
      <c r="C49" s="88">
        <v>715</v>
      </c>
      <c r="D49" s="88">
        <v>715</v>
      </c>
      <c r="E49" s="109">
        <f t="shared" si="0"/>
        <v>720</v>
      </c>
      <c r="F49" s="32"/>
      <c r="H49" s="1" t="s">
        <v>122</v>
      </c>
      <c r="I49" s="92">
        <f t="shared" si="2"/>
        <v>43.650000000000006</v>
      </c>
    </row>
    <row r="50" spans="2:10" x14ac:dyDescent="0.25">
      <c r="B50" s="1" t="s">
        <v>83</v>
      </c>
      <c r="C50" s="88">
        <v>755</v>
      </c>
      <c r="D50" s="88">
        <v>755</v>
      </c>
      <c r="E50" s="109">
        <f t="shared" si="0"/>
        <v>760</v>
      </c>
      <c r="F50" s="32"/>
      <c r="H50" s="1" t="s">
        <v>123</v>
      </c>
      <c r="I50" s="92">
        <f t="shared" si="2"/>
        <v>52.38000000000001</v>
      </c>
    </row>
    <row r="51" spans="2:10" x14ac:dyDescent="0.25">
      <c r="B51" s="1" t="s">
        <v>84</v>
      </c>
      <c r="C51" s="88">
        <v>792</v>
      </c>
      <c r="D51" s="88">
        <v>792</v>
      </c>
      <c r="E51" s="109">
        <f t="shared" si="0"/>
        <v>797</v>
      </c>
      <c r="F51" s="32"/>
      <c r="H51" s="1" t="s">
        <v>124</v>
      </c>
      <c r="I51" s="92">
        <f t="shared" si="2"/>
        <v>61.110000000000014</v>
      </c>
    </row>
    <row r="52" spans="2:10" x14ac:dyDescent="0.25">
      <c r="B52" s="1" t="s">
        <v>85</v>
      </c>
      <c r="C52" s="88">
        <v>830</v>
      </c>
      <c r="D52" s="88">
        <v>830</v>
      </c>
      <c r="E52" s="109">
        <f t="shared" si="0"/>
        <v>835</v>
      </c>
      <c r="F52" s="32"/>
      <c r="H52" s="1" t="s">
        <v>125</v>
      </c>
      <c r="I52" s="92">
        <f t="shared" si="2"/>
        <v>69.840000000000018</v>
      </c>
    </row>
    <row r="53" spans="2:10" x14ac:dyDescent="0.25">
      <c r="B53" s="1" t="s">
        <v>76</v>
      </c>
      <c r="C53" s="88">
        <v>645</v>
      </c>
      <c r="D53" s="88">
        <v>645</v>
      </c>
      <c r="E53" s="109">
        <f t="shared" si="0"/>
        <v>650</v>
      </c>
      <c r="F53" s="32"/>
      <c r="H53" s="1" t="s">
        <v>126</v>
      </c>
      <c r="I53" s="92">
        <f t="shared" si="2"/>
        <v>78.570000000000022</v>
      </c>
    </row>
    <row r="54" spans="2:10" x14ac:dyDescent="0.25">
      <c r="B54" s="1" t="s">
        <v>74</v>
      </c>
      <c r="C54" s="88">
        <v>685</v>
      </c>
      <c r="D54" s="88">
        <v>685</v>
      </c>
      <c r="E54" s="109">
        <f t="shared" si="0"/>
        <v>690</v>
      </c>
      <c r="F54" s="32"/>
      <c r="H54" s="1" t="s">
        <v>127</v>
      </c>
      <c r="I54" s="92">
        <f t="shared" si="2"/>
        <v>87.300000000000026</v>
      </c>
    </row>
    <row r="55" spans="2:10" x14ac:dyDescent="0.25">
      <c r="B55" s="1" t="s">
        <v>77</v>
      </c>
      <c r="C55" s="88">
        <v>725</v>
      </c>
      <c r="D55" s="88">
        <v>725</v>
      </c>
      <c r="E55" s="109">
        <f t="shared" si="0"/>
        <v>730</v>
      </c>
      <c r="F55" s="32"/>
      <c r="H55" s="1" t="s">
        <v>128</v>
      </c>
      <c r="I55" s="92">
        <f t="shared" si="2"/>
        <v>96.03000000000003</v>
      </c>
    </row>
    <row r="56" spans="2:10" x14ac:dyDescent="0.25">
      <c r="B56" s="1" t="s">
        <v>75</v>
      </c>
      <c r="C56" s="88">
        <v>768</v>
      </c>
      <c r="D56" s="88">
        <v>768</v>
      </c>
      <c r="E56" s="109">
        <f t="shared" si="0"/>
        <v>773</v>
      </c>
      <c r="F56" s="32"/>
      <c r="H56" s="1" t="s">
        <v>129</v>
      </c>
      <c r="I56" s="92">
        <f t="shared" si="2"/>
        <v>104.76000000000003</v>
      </c>
    </row>
    <row r="57" spans="2:10" x14ac:dyDescent="0.25">
      <c r="B57" s="1" t="s">
        <v>78</v>
      </c>
      <c r="C57" s="88">
        <v>806</v>
      </c>
      <c r="D57" s="88">
        <v>806</v>
      </c>
      <c r="E57" s="109">
        <f t="shared" si="0"/>
        <v>811</v>
      </c>
      <c r="F57" s="32"/>
      <c r="H57" s="1" t="s">
        <v>130</v>
      </c>
      <c r="I57" s="92">
        <f t="shared" si="2"/>
        <v>113.49000000000004</v>
      </c>
    </row>
    <row r="58" spans="2:10" x14ac:dyDescent="0.25">
      <c r="B58" s="1" t="s">
        <v>170</v>
      </c>
      <c r="C58" s="88">
        <v>830</v>
      </c>
      <c r="D58" s="88">
        <v>830</v>
      </c>
      <c r="E58" s="109">
        <f t="shared" si="0"/>
        <v>835</v>
      </c>
      <c r="F58" s="32"/>
      <c r="H58" s="29"/>
      <c r="I58" s="42"/>
    </row>
    <row r="59" spans="2:10" x14ac:dyDescent="0.25">
      <c r="B59" s="1" t="s">
        <v>171</v>
      </c>
      <c r="C59" s="88">
        <v>890</v>
      </c>
      <c r="D59" s="88">
        <v>890</v>
      </c>
      <c r="E59" s="109">
        <f t="shared" si="0"/>
        <v>895</v>
      </c>
      <c r="F59" s="32"/>
      <c r="H59" s="29"/>
      <c r="I59" s="42"/>
    </row>
    <row r="60" spans="2:10" x14ac:dyDescent="0.25">
      <c r="B60" s="1" t="s">
        <v>172</v>
      </c>
      <c r="C60" s="88">
        <v>925</v>
      </c>
      <c r="D60" s="88">
        <v>925</v>
      </c>
      <c r="E60" s="109">
        <f t="shared" si="0"/>
        <v>930</v>
      </c>
      <c r="F60" s="32"/>
      <c r="H60" s="29"/>
      <c r="I60" s="42"/>
    </row>
    <row r="61" spans="2:10" ht="15.75" thickBot="1" x14ac:dyDescent="0.3">
      <c r="B61" s="1" t="s">
        <v>173</v>
      </c>
      <c r="C61" s="88">
        <v>972</v>
      </c>
      <c r="D61" s="88">
        <v>972</v>
      </c>
      <c r="E61" s="109">
        <f t="shared" si="0"/>
        <v>977</v>
      </c>
      <c r="F61" s="32"/>
    </row>
    <row r="62" spans="2:10" x14ac:dyDescent="0.25">
      <c r="B62" s="1" t="s">
        <v>220</v>
      </c>
      <c r="C62" s="88">
        <v>972</v>
      </c>
      <c r="D62" s="88">
        <v>972</v>
      </c>
      <c r="E62" s="109">
        <f t="shared" si="0"/>
        <v>977</v>
      </c>
      <c r="F62" s="32"/>
      <c r="H62" s="177" t="s">
        <v>258</v>
      </c>
      <c r="I62" s="183" t="s">
        <v>238</v>
      </c>
      <c r="J62" s="184" t="s">
        <v>257</v>
      </c>
    </row>
    <row r="63" spans="2:10" x14ac:dyDescent="0.25">
      <c r="B63" s="1" t="s">
        <v>221</v>
      </c>
      <c r="C63" s="88">
        <v>1013</v>
      </c>
      <c r="D63" s="88">
        <v>1013</v>
      </c>
      <c r="E63" s="109">
        <f t="shared" si="0"/>
        <v>1018</v>
      </c>
      <c r="F63" s="32"/>
      <c r="H63" s="1" t="s">
        <v>250</v>
      </c>
      <c r="I63" s="168">
        <v>0</v>
      </c>
      <c r="J63" s="179">
        <v>0</v>
      </c>
    </row>
    <row r="64" spans="2:10" ht="15.75" thickBot="1" x14ac:dyDescent="0.3">
      <c r="B64" s="6" t="s">
        <v>222</v>
      </c>
      <c r="C64" s="7">
        <v>1067</v>
      </c>
      <c r="D64" s="7">
        <v>1067</v>
      </c>
      <c r="E64" s="125">
        <f t="shared" si="0"/>
        <v>1072</v>
      </c>
      <c r="F64" s="51"/>
      <c r="H64" s="1" t="s">
        <v>252</v>
      </c>
      <c r="I64" s="168">
        <v>105.05</v>
      </c>
      <c r="J64" s="179">
        <v>105.05</v>
      </c>
    </row>
    <row r="65" spans="2:10" ht="15.75" thickBot="1" x14ac:dyDescent="0.3">
      <c r="H65" s="6" t="s">
        <v>253</v>
      </c>
      <c r="I65" s="7">
        <v>126.06</v>
      </c>
      <c r="J65" s="191">
        <v>126.06</v>
      </c>
    </row>
    <row r="66" spans="2:10" ht="60.75" thickBot="1" x14ac:dyDescent="0.3">
      <c r="B66" s="19" t="s">
        <v>86</v>
      </c>
      <c r="C66" s="20" t="s">
        <v>50</v>
      </c>
      <c r="D66" s="20" t="s">
        <v>87</v>
      </c>
      <c r="E66" s="20" t="s">
        <v>88</v>
      </c>
      <c r="F66" s="21" t="s">
        <v>89</v>
      </c>
    </row>
    <row r="67" spans="2:10" x14ac:dyDescent="0.25">
      <c r="B67" s="1" t="s">
        <v>39</v>
      </c>
      <c r="C67" s="2">
        <v>0</v>
      </c>
      <c r="D67" s="9"/>
      <c r="E67" s="3">
        <v>0</v>
      </c>
      <c r="F67" s="43">
        <v>2.29</v>
      </c>
      <c r="H67" s="22" t="s">
        <v>201</v>
      </c>
      <c r="I67" s="33" t="s">
        <v>202</v>
      </c>
    </row>
    <row r="68" spans="2:10" x14ac:dyDescent="0.25">
      <c r="B68" s="1" t="s">
        <v>40</v>
      </c>
      <c r="C68" s="4">
        <v>2.29</v>
      </c>
      <c r="D68" s="10"/>
      <c r="E68" s="5">
        <v>2.29</v>
      </c>
      <c r="F68" s="43">
        <v>2.29</v>
      </c>
      <c r="H68" s="93" t="s">
        <v>210</v>
      </c>
      <c r="I68" s="47"/>
    </row>
    <row r="69" spans="2:10" ht="15.75" thickBot="1" x14ac:dyDescent="0.3">
      <c r="B69" s="1" t="s">
        <v>41</v>
      </c>
      <c r="C69" s="88">
        <v>10.67</v>
      </c>
      <c r="D69" s="10">
        <v>0.03</v>
      </c>
      <c r="E69" s="5">
        <f>C69+D69*(449*'fiche de paye'!$B$2)</f>
        <v>76.979891499999994</v>
      </c>
      <c r="F69" s="12">
        <f>ROUNDDOWN(C69+D69*(717*'fiche de paye'!$B$2),2)</f>
        <v>116.55</v>
      </c>
      <c r="H69" s="24" t="s">
        <v>201</v>
      </c>
      <c r="I69" s="48">
        <v>15</v>
      </c>
    </row>
    <row r="70" spans="2:10" x14ac:dyDescent="0.25">
      <c r="B70" s="1" t="s">
        <v>42</v>
      </c>
      <c r="C70" s="88">
        <v>15.24</v>
      </c>
      <c r="D70" s="10">
        <v>0.08</v>
      </c>
      <c r="E70" s="5">
        <f>C70+D70*(449*'fiche de paye'!$B$2)</f>
        <v>192.06637733333335</v>
      </c>
      <c r="F70" s="12">
        <f>C70+D70*(717*'fiche de paye'!$B$2)</f>
        <v>297.61085200000002</v>
      </c>
    </row>
    <row r="71" spans="2:10" ht="15.75" thickBot="1" x14ac:dyDescent="0.3">
      <c r="B71" s="1" t="s">
        <v>43</v>
      </c>
      <c r="C71" s="88">
        <f t="shared" ref="C71:C77" si="3">C70+4.57</f>
        <v>19.810000000000002</v>
      </c>
      <c r="D71" s="10">
        <f>0.08+0.06*1</f>
        <v>0.14000000000000001</v>
      </c>
      <c r="E71" s="5">
        <f>C71+D71*(449*'fiche de paye'!$B$2)</f>
        <v>329.25616033333336</v>
      </c>
      <c r="F71" s="12">
        <f>C71+D71*(717*'fiche de paye'!$B$2)</f>
        <v>513.95899100000008</v>
      </c>
    </row>
    <row r="72" spans="2:10" x14ac:dyDescent="0.25">
      <c r="B72" s="1" t="s">
        <v>44</v>
      </c>
      <c r="C72" s="88">
        <f t="shared" si="3"/>
        <v>24.380000000000003</v>
      </c>
      <c r="D72" s="10">
        <f>0.08+0.06*2</f>
        <v>0.2</v>
      </c>
      <c r="E72" s="5">
        <f>C72+D72*(449*'fiche de paye'!$B$2)</f>
        <v>466.44594333333333</v>
      </c>
      <c r="F72" s="12">
        <f>C72+D72*(717*'fiche de paye'!$B$2)</f>
        <v>730.30713000000003</v>
      </c>
      <c r="H72" s="19" t="s">
        <v>256</v>
      </c>
      <c r="I72" s="192" t="s">
        <v>257</v>
      </c>
    </row>
    <row r="73" spans="2:10" x14ac:dyDescent="0.25">
      <c r="B73" s="1" t="s">
        <v>45</v>
      </c>
      <c r="C73" s="88">
        <f t="shared" si="3"/>
        <v>28.950000000000003</v>
      </c>
      <c r="D73" s="10">
        <f>0.08+0.06*3</f>
        <v>0.26</v>
      </c>
      <c r="E73" s="5">
        <f>C73+D73*(449*'fiche de paye'!$B$2)</f>
        <v>603.63572633333342</v>
      </c>
      <c r="F73" s="12">
        <f>C73+D73*(717*'fiche de paye'!$B$2)</f>
        <v>946.65526900000009</v>
      </c>
      <c r="H73" s="1" t="s">
        <v>259</v>
      </c>
      <c r="I73" s="179">
        <v>0</v>
      </c>
    </row>
    <row r="74" spans="2:10" x14ac:dyDescent="0.25">
      <c r="B74" s="1" t="s">
        <v>46</v>
      </c>
      <c r="C74" s="88">
        <f t="shared" si="3"/>
        <v>33.520000000000003</v>
      </c>
      <c r="D74" s="10">
        <f>0.08+0.06*4</f>
        <v>0.32</v>
      </c>
      <c r="E74" s="5">
        <f>C74+D74*(449*'fiche de paye'!$B$2)</f>
        <v>740.82550933333334</v>
      </c>
      <c r="F74" s="12">
        <f>C74+D74*(717*'fiche de paye'!$B$2)</f>
        <v>1163.003408</v>
      </c>
      <c r="H74" s="1" t="s">
        <v>262</v>
      </c>
      <c r="I74" s="179">
        <v>108.87</v>
      </c>
    </row>
    <row r="75" spans="2:10" x14ac:dyDescent="0.25">
      <c r="B75" s="1" t="s">
        <v>47</v>
      </c>
      <c r="C75" s="88">
        <f t="shared" si="3"/>
        <v>38.090000000000003</v>
      </c>
      <c r="D75" s="10">
        <f>0.08+0.06*5</f>
        <v>0.38</v>
      </c>
      <c r="E75" s="5">
        <f>C75+D75*(449*'fiche de paye'!$B$2)</f>
        <v>878.01529233333338</v>
      </c>
      <c r="F75" s="12">
        <f>C75+D75*(717*'fiche de paye'!$B$2)</f>
        <v>1379.351547</v>
      </c>
      <c r="H75" s="1" t="s">
        <v>261</v>
      </c>
      <c r="I75" s="179">
        <v>163.29</v>
      </c>
    </row>
    <row r="76" spans="2:10" ht="15.75" thickBot="1" x14ac:dyDescent="0.3">
      <c r="B76" s="1" t="s">
        <v>48</v>
      </c>
      <c r="C76" s="88">
        <f t="shared" si="3"/>
        <v>42.660000000000004</v>
      </c>
      <c r="D76" s="10">
        <f>0.08+0.06*6</f>
        <v>0.44</v>
      </c>
      <c r="E76" s="5">
        <f>C76+D76*(449*'fiche de paye'!$B$2)</f>
        <v>1015.2050753333333</v>
      </c>
      <c r="F76" s="12">
        <f>C76+D76*(717*'fiche de paye'!$B$2)</f>
        <v>1595.6996860000002</v>
      </c>
      <c r="H76" s="6" t="s">
        <v>260</v>
      </c>
      <c r="I76" s="191">
        <v>65.319999999999993</v>
      </c>
    </row>
    <row r="77" spans="2:10" ht="15.75" thickBot="1" x14ac:dyDescent="0.3">
      <c r="B77" s="6" t="s">
        <v>49</v>
      </c>
      <c r="C77" s="7">
        <f t="shared" si="3"/>
        <v>47.230000000000004</v>
      </c>
      <c r="D77" s="11">
        <f>0.08+0.06*7</f>
        <v>0.5</v>
      </c>
      <c r="E77" s="8">
        <f>C77+D77*(449*'fiche de paye'!$B$2)</f>
        <v>1152.3948583333333</v>
      </c>
      <c r="F77" s="13">
        <f>C77+D77*(717*'fiche de paye'!$B$2)</f>
        <v>1812.0478250000001</v>
      </c>
    </row>
    <row r="78" spans="2:10" x14ac:dyDescent="0.25">
      <c r="H78" s="19" t="s">
        <v>267</v>
      </c>
      <c r="I78" s="192" t="s">
        <v>202</v>
      </c>
    </row>
    <row r="79" spans="2:10" ht="15.75" thickBot="1" x14ac:dyDescent="0.3">
      <c r="H79" s="1" t="s">
        <v>268</v>
      </c>
      <c r="I79" s="179">
        <v>0</v>
      </c>
    </row>
    <row r="80" spans="2:10" ht="15.75" thickBot="1" x14ac:dyDescent="0.3">
      <c r="B80" s="22" t="s">
        <v>0</v>
      </c>
      <c r="C80" s="44" t="s">
        <v>5</v>
      </c>
      <c r="D80" s="33" t="s">
        <v>4</v>
      </c>
      <c r="H80" s="6" t="s">
        <v>269</v>
      </c>
      <c r="I80" s="180">
        <v>110</v>
      </c>
    </row>
    <row r="81" spans="2:13" x14ac:dyDescent="0.25">
      <c r="B81" s="23" t="s">
        <v>1</v>
      </c>
      <c r="C81" s="45">
        <v>0.03</v>
      </c>
      <c r="D81" s="40">
        <f>C81*313*'fiche de paye'!B2</f>
        <v>46.224935499999994</v>
      </c>
    </row>
    <row r="82" spans="2:13" x14ac:dyDescent="0.25">
      <c r="B82" s="23" t="s">
        <v>2</v>
      </c>
      <c r="C82" s="45">
        <v>0.01</v>
      </c>
      <c r="D82" s="40">
        <f>C82*313*'fiche de paye'!B2</f>
        <v>15.408311833333332</v>
      </c>
    </row>
    <row r="83" spans="2:13" ht="15.75" thickBot="1" x14ac:dyDescent="0.3">
      <c r="B83" s="24" t="s">
        <v>3</v>
      </c>
      <c r="C83" s="46">
        <v>0</v>
      </c>
      <c r="D83" s="41">
        <v>0</v>
      </c>
    </row>
    <row r="85" spans="2:13" ht="15.75" thickBot="1" x14ac:dyDescent="0.3"/>
    <row r="86" spans="2:13" ht="54.75" customHeight="1" x14ac:dyDescent="0.25">
      <c r="B86" s="19" t="s">
        <v>91</v>
      </c>
      <c r="C86" s="50" t="s">
        <v>93</v>
      </c>
      <c r="D86" s="50" t="s">
        <v>92</v>
      </c>
      <c r="E86" s="101" t="s">
        <v>99</v>
      </c>
      <c r="F86" s="101" t="s">
        <v>132</v>
      </c>
      <c r="G86" s="111" t="s">
        <v>133</v>
      </c>
      <c r="H86" s="111" t="s">
        <v>228</v>
      </c>
      <c r="I86" s="111" t="s">
        <v>214</v>
      </c>
      <c r="J86" s="111" t="s">
        <v>233</v>
      </c>
      <c r="K86" s="111" t="s">
        <v>236</v>
      </c>
      <c r="L86" s="111" t="s">
        <v>237</v>
      </c>
      <c r="M86" s="100" t="s">
        <v>242</v>
      </c>
    </row>
    <row r="87" spans="2:13" x14ac:dyDescent="0.25">
      <c r="B87" s="187" t="s">
        <v>217</v>
      </c>
      <c r="C87" s="185">
        <v>0.111</v>
      </c>
      <c r="D87" s="94">
        <f>5820.04/1200</f>
        <v>4.8500333333333332</v>
      </c>
      <c r="E87" s="94">
        <v>2</v>
      </c>
      <c r="F87" s="88">
        <v>3</v>
      </c>
      <c r="G87" s="110">
        <v>32.42</v>
      </c>
      <c r="H87" s="138">
        <v>2</v>
      </c>
      <c r="I87" s="88">
        <v>353</v>
      </c>
      <c r="J87" s="88">
        <v>2</v>
      </c>
      <c r="K87" s="88">
        <v>2</v>
      </c>
      <c r="L87" s="88">
        <v>2</v>
      </c>
      <c r="M87" s="176">
        <v>2</v>
      </c>
    </row>
    <row r="88" spans="2:13" x14ac:dyDescent="0.25">
      <c r="B88" s="187" t="s">
        <v>218</v>
      </c>
      <c r="C88" s="185">
        <v>0.111</v>
      </c>
      <c r="D88" s="94">
        <f>5820.04/1200</f>
        <v>4.8500333333333332</v>
      </c>
      <c r="E88" s="94">
        <v>2</v>
      </c>
      <c r="F88" s="88">
        <v>3</v>
      </c>
      <c r="G88" s="110">
        <v>32.42</v>
      </c>
      <c r="H88" s="138">
        <v>2</v>
      </c>
      <c r="I88" s="88">
        <v>361</v>
      </c>
      <c r="J88" s="88">
        <v>2</v>
      </c>
      <c r="K88" s="88">
        <v>2</v>
      </c>
      <c r="L88" s="88">
        <v>2</v>
      </c>
      <c r="M88" s="176">
        <v>2</v>
      </c>
    </row>
    <row r="89" spans="2:13" x14ac:dyDescent="0.25">
      <c r="B89" s="187" t="s">
        <v>219</v>
      </c>
      <c r="C89" s="185">
        <v>0.111</v>
      </c>
      <c r="D89" s="94">
        <f>5907.34/1200</f>
        <v>4.9227833333333333</v>
      </c>
      <c r="E89" s="94">
        <v>2</v>
      </c>
      <c r="F89" s="88">
        <v>3</v>
      </c>
      <c r="G89" s="110">
        <v>32.42</v>
      </c>
      <c r="H89" s="138">
        <v>2</v>
      </c>
      <c r="I89" s="88">
        <v>361</v>
      </c>
      <c r="J89" s="88">
        <v>2</v>
      </c>
      <c r="K89" s="88">
        <v>2</v>
      </c>
      <c r="L89" s="88">
        <v>2</v>
      </c>
      <c r="M89" s="176">
        <v>2</v>
      </c>
    </row>
    <row r="90" spans="2:13" x14ac:dyDescent="0.25">
      <c r="B90" s="187" t="s">
        <v>224</v>
      </c>
      <c r="C90" s="185">
        <v>0.111</v>
      </c>
      <c r="D90" s="94">
        <f>D89</f>
        <v>4.9227833333333333</v>
      </c>
      <c r="E90" s="94">
        <v>3</v>
      </c>
      <c r="F90" s="88">
        <v>4</v>
      </c>
      <c r="G90" s="110">
        <v>32.42</v>
      </c>
      <c r="H90" s="138">
        <v>3</v>
      </c>
      <c r="I90" s="88">
        <v>366</v>
      </c>
      <c r="J90" s="88">
        <v>3</v>
      </c>
      <c r="K90" s="88">
        <v>3</v>
      </c>
      <c r="L90" s="88">
        <v>3</v>
      </c>
      <c r="M90" s="176">
        <v>3</v>
      </c>
    </row>
    <row r="91" spans="2:13" x14ac:dyDescent="0.25">
      <c r="B91" s="187" t="s">
        <v>246</v>
      </c>
      <c r="C91" s="185">
        <v>0.111</v>
      </c>
      <c r="D91" s="94">
        <f>D90</f>
        <v>4.9227833333333333</v>
      </c>
      <c r="E91" s="94">
        <v>4</v>
      </c>
      <c r="F91" s="88">
        <v>4</v>
      </c>
      <c r="G91" s="110">
        <v>32.42</v>
      </c>
      <c r="H91" s="138">
        <v>3</v>
      </c>
      <c r="I91" s="88">
        <v>366</v>
      </c>
      <c r="J91" s="88">
        <v>3</v>
      </c>
      <c r="K91" s="88">
        <v>3</v>
      </c>
      <c r="L91" s="88">
        <v>3</v>
      </c>
      <c r="M91" s="176">
        <v>3</v>
      </c>
    </row>
    <row r="92" spans="2:13" x14ac:dyDescent="0.25">
      <c r="B92" s="187"/>
      <c r="C92" s="185"/>
      <c r="D92" s="94"/>
      <c r="E92" s="94"/>
      <c r="F92" s="88"/>
      <c r="G92" s="110"/>
      <c r="H92" s="138"/>
      <c r="I92" s="88"/>
      <c r="J92" s="88"/>
      <c r="K92" s="88"/>
      <c r="L92" s="186"/>
      <c r="M92" s="160"/>
    </row>
    <row r="93" spans="2:13" ht="15.75" thickBot="1" x14ac:dyDescent="0.3">
      <c r="B93" s="188"/>
      <c r="C93" s="189"/>
      <c r="D93" s="95"/>
      <c r="E93" s="95"/>
      <c r="F93" s="7"/>
      <c r="G93" s="112"/>
      <c r="H93" s="139"/>
      <c r="I93" s="7"/>
      <c r="J93" s="7"/>
      <c r="K93" s="7"/>
      <c r="L93" s="190"/>
      <c r="M93" s="162"/>
    </row>
    <row r="94" spans="2:13" x14ac:dyDescent="0.25">
      <c r="B94" s="29"/>
      <c r="C94" s="29"/>
      <c r="D94" s="29"/>
    </row>
    <row r="96" spans="2:13" ht="15.75" thickBot="1" x14ac:dyDescent="0.3"/>
    <row r="97" spans="2:8" x14ac:dyDescent="0.25">
      <c r="B97" s="181" t="s">
        <v>100</v>
      </c>
      <c r="C97" s="173" t="s">
        <v>238</v>
      </c>
      <c r="D97" s="182">
        <v>2024</v>
      </c>
    </row>
    <row r="98" spans="2:8" x14ac:dyDescent="0.25">
      <c r="B98" s="1" t="s">
        <v>103</v>
      </c>
      <c r="C98" s="171">
        <v>0</v>
      </c>
      <c r="D98" s="160">
        <v>0</v>
      </c>
    </row>
    <row r="99" spans="2:8" x14ac:dyDescent="0.25">
      <c r="B99" s="1" t="s">
        <v>101</v>
      </c>
      <c r="C99" s="172">
        <v>41.4</v>
      </c>
      <c r="D99" s="96">
        <v>43.06</v>
      </c>
    </row>
    <row r="100" spans="2:8" x14ac:dyDescent="0.25">
      <c r="B100" s="1" t="s">
        <v>102</v>
      </c>
      <c r="C100" s="172">
        <v>62.1</v>
      </c>
      <c r="D100" s="96">
        <v>64.58</v>
      </c>
      <c r="H100" s="31" t="s">
        <v>247</v>
      </c>
    </row>
    <row r="101" spans="2:8" x14ac:dyDescent="0.25">
      <c r="B101" s="1" t="s">
        <v>255</v>
      </c>
      <c r="C101" s="172">
        <v>100</v>
      </c>
      <c r="D101" s="96">
        <v>100</v>
      </c>
    </row>
    <row r="102" spans="2:8" x14ac:dyDescent="0.25">
      <c r="B102" s="1" t="s">
        <v>254</v>
      </c>
      <c r="C102" s="172">
        <v>103.5</v>
      </c>
      <c r="D102" s="96">
        <v>107.64</v>
      </c>
    </row>
    <row r="103" spans="2:8" ht="15.75" thickBot="1" x14ac:dyDescent="0.3">
      <c r="B103" s="6" t="s">
        <v>245</v>
      </c>
      <c r="C103" s="174">
        <v>103.5</v>
      </c>
      <c r="D103" s="97">
        <v>250</v>
      </c>
    </row>
  </sheetData>
  <sheetProtection algorithmName="SHA-512" hashValue="VtGdjRNbkPNSDaRBatS9AA1ww74ynxxZPp59bYGzPqAoZPGS9ub6WL2wffRAljq7Tirhw2CBm95QgKHw8wmZvA==" saltValue="eX4iUezClwAKVhC0ANSN0Q==" spinCount="100000" sheet="1" selectLockedCells="1" selectUnlockedCells="1"/>
  <phoneticPr fontId="3" type="noConversion"/>
  <hyperlinks>
    <hyperlink ref="H18" r:id="rId1" display="https://www.legifrance.gouv.fr/loda/id/JORFTEXT000034517512/2023-04-02/" xr:uid="{00000000-0004-0000-0200-000000000000}"/>
    <hyperlink ref="I43" r:id="rId2" xr:uid="{00000000-0004-0000-0200-000001000000}"/>
    <hyperlink ref="E3" r:id="rId3" xr:uid="{00000000-0004-0000-0200-000002000000}"/>
    <hyperlink ref="H31" r:id="rId4" xr:uid="{00000000-0004-0000-0200-000003000000}"/>
    <hyperlink ref="H3" r:id="rId5" xr:uid="{00000000-0004-0000-0200-000004000000}"/>
    <hyperlink ref="B97" r:id="rId6" xr:uid="{00000000-0004-0000-0200-000005000000}"/>
    <hyperlink ref="H62" r:id="rId7" xr:uid="{00000000-0004-0000-0200-000006000000}"/>
  </hyperlinks>
  <pageMargins left="0.25" right="0.25" top="0.75" bottom="0.75" header="0.3" footer="0.3"/>
  <pageSetup paperSize="9" scale="46" orientation="portrait" horizontalDpi="4294967294" verticalDpi="0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 tint="0.79998168889431442"/>
  </sheetPr>
  <dimension ref="A1:G27"/>
  <sheetViews>
    <sheetView tabSelected="1" workbookViewId="0">
      <selection activeCell="I13" sqref="I13"/>
    </sheetView>
  </sheetViews>
  <sheetFormatPr baseColWidth="10" defaultColWidth="11.42578125" defaultRowHeight="15" x14ac:dyDescent="0.25"/>
  <cols>
    <col min="1" max="6" width="11.42578125" style="29"/>
    <col min="7" max="7" width="58.85546875" style="29" customWidth="1"/>
    <col min="8" max="16384" width="11.42578125" style="29"/>
  </cols>
  <sheetData>
    <row r="1" spans="1:7" x14ac:dyDescent="0.25">
      <c r="A1" s="30" t="s">
        <v>72</v>
      </c>
      <c r="B1" s="212" t="s">
        <v>73</v>
      </c>
      <c r="C1" s="212"/>
      <c r="D1" s="212"/>
      <c r="E1" s="212"/>
      <c r="F1" s="212"/>
      <c r="G1" s="213"/>
    </row>
    <row r="2" spans="1:7" x14ac:dyDescent="0.25">
      <c r="A2" s="1" t="s">
        <v>197</v>
      </c>
      <c r="B2" s="214" t="s">
        <v>203</v>
      </c>
      <c r="C2" s="210"/>
      <c r="D2" s="210"/>
      <c r="E2" s="210"/>
      <c r="F2" s="210"/>
      <c r="G2" s="211"/>
    </row>
    <row r="3" spans="1:7" x14ac:dyDescent="0.25">
      <c r="A3" s="1" t="s">
        <v>212</v>
      </c>
      <c r="B3" s="210" t="s">
        <v>213</v>
      </c>
      <c r="C3" s="210"/>
      <c r="D3" s="210"/>
      <c r="E3" s="210"/>
      <c r="F3" s="210"/>
      <c r="G3" s="211"/>
    </row>
    <row r="4" spans="1:7" x14ac:dyDescent="0.25">
      <c r="A4" s="1" t="s">
        <v>216</v>
      </c>
      <c r="B4" s="210" t="s">
        <v>223</v>
      </c>
      <c r="C4" s="210"/>
      <c r="D4" s="210"/>
      <c r="E4" s="210"/>
      <c r="F4" s="210"/>
      <c r="G4" s="211"/>
    </row>
    <row r="5" spans="1:7" x14ac:dyDescent="0.25">
      <c r="A5" s="1" t="s">
        <v>227</v>
      </c>
      <c r="B5" s="210" t="s">
        <v>240</v>
      </c>
      <c r="C5" s="210"/>
      <c r="D5" s="210"/>
      <c r="E5" s="210"/>
      <c r="F5" s="210"/>
      <c r="G5" s="211"/>
    </row>
    <row r="6" spans="1:7" x14ac:dyDescent="0.25">
      <c r="A6" s="1" t="s">
        <v>243</v>
      </c>
      <c r="B6" s="210" t="s">
        <v>244</v>
      </c>
      <c r="C6" s="210"/>
      <c r="D6" s="210"/>
      <c r="E6" s="210"/>
      <c r="F6" s="210"/>
      <c r="G6" s="211"/>
    </row>
    <row r="7" spans="1:7" x14ac:dyDescent="0.25">
      <c r="A7" s="1" t="s">
        <v>264</v>
      </c>
      <c r="B7" s="210" t="s">
        <v>248</v>
      </c>
      <c r="C7" s="210"/>
      <c r="D7" s="210"/>
      <c r="E7" s="210"/>
      <c r="F7" s="210"/>
      <c r="G7" s="211"/>
    </row>
    <row r="8" spans="1:7" x14ac:dyDescent="0.25">
      <c r="A8" s="1" t="s">
        <v>263</v>
      </c>
      <c r="B8" s="210" t="s">
        <v>265</v>
      </c>
      <c r="C8" s="210"/>
      <c r="D8" s="210"/>
      <c r="E8" s="210"/>
      <c r="F8" s="210"/>
      <c r="G8" s="211"/>
    </row>
    <row r="9" spans="1:7" x14ac:dyDescent="0.25">
      <c r="A9" s="1" t="s">
        <v>270</v>
      </c>
      <c r="B9" s="210" t="s">
        <v>272</v>
      </c>
      <c r="C9" s="210"/>
      <c r="D9" s="210"/>
      <c r="E9" s="210"/>
      <c r="F9" s="210"/>
      <c r="G9" s="211"/>
    </row>
    <row r="10" spans="1:7" x14ac:dyDescent="0.25">
      <c r="A10" s="1"/>
      <c r="B10" s="210"/>
      <c r="C10" s="210"/>
      <c r="D10" s="210"/>
      <c r="E10" s="210"/>
      <c r="F10" s="210"/>
      <c r="G10" s="211"/>
    </row>
    <row r="11" spans="1:7" x14ac:dyDescent="0.25">
      <c r="A11" s="1"/>
      <c r="B11" s="214"/>
      <c r="C11" s="210"/>
      <c r="D11" s="210"/>
      <c r="E11" s="210"/>
      <c r="F11" s="210"/>
      <c r="G11" s="211"/>
    </row>
    <row r="12" spans="1:7" x14ac:dyDescent="0.25">
      <c r="A12" s="1"/>
      <c r="B12" s="210"/>
      <c r="C12" s="210"/>
      <c r="D12" s="210"/>
      <c r="E12" s="210"/>
      <c r="F12" s="210"/>
      <c r="G12" s="211"/>
    </row>
    <row r="13" spans="1:7" x14ac:dyDescent="0.25">
      <c r="A13" s="1"/>
      <c r="B13" s="210"/>
      <c r="C13" s="210"/>
      <c r="D13" s="210"/>
      <c r="E13" s="210"/>
      <c r="F13" s="210"/>
      <c r="G13" s="211"/>
    </row>
    <row r="14" spans="1:7" x14ac:dyDescent="0.25">
      <c r="A14" s="1"/>
      <c r="B14" s="210"/>
      <c r="C14" s="210"/>
      <c r="D14" s="210"/>
      <c r="E14" s="210"/>
      <c r="F14" s="210"/>
      <c r="G14" s="211"/>
    </row>
    <row r="15" spans="1:7" x14ac:dyDescent="0.25">
      <c r="A15" s="63"/>
      <c r="B15" s="207"/>
      <c r="C15" s="208"/>
      <c r="D15" s="208"/>
      <c r="E15" s="208"/>
      <c r="F15" s="208"/>
      <c r="G15" s="209"/>
    </row>
    <row r="16" spans="1:7" x14ac:dyDescent="0.25">
      <c r="A16" s="63"/>
      <c r="B16" s="207"/>
      <c r="C16" s="208"/>
      <c r="D16" s="208"/>
      <c r="E16" s="208"/>
      <c r="F16" s="208"/>
      <c r="G16" s="209"/>
    </row>
    <row r="17" spans="1:7" x14ac:dyDescent="0.25">
      <c r="A17" s="63"/>
      <c r="B17" s="207"/>
      <c r="C17" s="208"/>
      <c r="D17" s="208"/>
      <c r="E17" s="208"/>
      <c r="F17" s="208"/>
      <c r="G17" s="209"/>
    </row>
    <row r="18" spans="1:7" x14ac:dyDescent="0.25">
      <c r="A18" s="63"/>
      <c r="B18" s="207"/>
      <c r="C18" s="208"/>
      <c r="D18" s="208"/>
      <c r="E18" s="208"/>
      <c r="F18" s="208"/>
      <c r="G18" s="209"/>
    </row>
    <row r="19" spans="1:7" x14ac:dyDescent="0.25">
      <c r="A19" s="63"/>
      <c r="B19" s="207"/>
      <c r="C19" s="208"/>
      <c r="D19" s="208"/>
      <c r="E19" s="208"/>
      <c r="F19" s="208"/>
      <c r="G19" s="209"/>
    </row>
    <row r="20" spans="1:7" x14ac:dyDescent="0.25">
      <c r="A20" s="63"/>
      <c r="B20" s="207"/>
      <c r="C20" s="208"/>
      <c r="D20" s="208"/>
      <c r="E20" s="208"/>
      <c r="F20" s="208"/>
      <c r="G20" s="209"/>
    </row>
    <row r="21" spans="1:7" x14ac:dyDescent="0.25">
      <c r="A21" s="63"/>
      <c r="B21" s="207"/>
      <c r="C21" s="208"/>
      <c r="D21" s="208"/>
      <c r="E21" s="208"/>
      <c r="F21" s="208"/>
      <c r="G21" s="209"/>
    </row>
    <row r="22" spans="1:7" x14ac:dyDescent="0.25">
      <c r="A22" s="63"/>
      <c r="B22" s="207"/>
      <c r="C22" s="208"/>
      <c r="D22" s="208"/>
      <c r="E22" s="208"/>
      <c r="F22" s="208"/>
      <c r="G22" s="209"/>
    </row>
    <row r="23" spans="1:7" x14ac:dyDescent="0.25">
      <c r="A23" s="63"/>
      <c r="B23" s="207"/>
      <c r="C23" s="208"/>
      <c r="D23" s="208"/>
      <c r="E23" s="208"/>
      <c r="F23" s="208"/>
      <c r="G23" s="209"/>
    </row>
    <row r="24" spans="1:7" x14ac:dyDescent="0.25">
      <c r="A24" s="63"/>
      <c r="B24" s="207"/>
      <c r="C24" s="208"/>
      <c r="D24" s="208"/>
      <c r="E24" s="208"/>
      <c r="F24" s="208"/>
      <c r="G24" s="209"/>
    </row>
    <row r="25" spans="1:7" x14ac:dyDescent="0.25">
      <c r="A25" s="63"/>
      <c r="B25" s="207"/>
      <c r="C25" s="208"/>
      <c r="D25" s="208"/>
      <c r="E25" s="208"/>
      <c r="F25" s="208"/>
      <c r="G25" s="209"/>
    </row>
    <row r="26" spans="1:7" x14ac:dyDescent="0.25">
      <c r="A26" s="63"/>
      <c r="B26" s="207"/>
      <c r="C26" s="208"/>
      <c r="D26" s="208"/>
      <c r="E26" s="208"/>
      <c r="F26" s="208"/>
      <c r="G26" s="209"/>
    </row>
    <row r="27" spans="1:7" ht="15.75" thickBot="1" x14ac:dyDescent="0.3">
      <c r="A27" s="6"/>
      <c r="B27" s="215"/>
      <c r="C27" s="215"/>
      <c r="D27" s="215"/>
      <c r="E27" s="215"/>
      <c r="F27" s="215"/>
      <c r="G27" s="216"/>
    </row>
  </sheetData>
  <sheetProtection algorithmName="SHA-512" hashValue="dkpBLMXGWDK/nd7k2mRy397d4UjkIKDJBk5KjrOhPHCZt5e7VcJCawe2PNUwm/UYcLWuhIipfFvl3NDiz37Ucw==" saltValue="/q1c9LgIgAvfubw9MTpZ0Q==" spinCount="100000" sheet="1" selectLockedCells="1" selectUnlockedCells="1"/>
  <mergeCells count="27">
    <mergeCell ref="B27:G27"/>
    <mergeCell ref="B7:G7"/>
    <mergeCell ref="B8:G8"/>
    <mergeCell ref="B9:G9"/>
    <mergeCell ref="B10:G10"/>
    <mergeCell ref="B11:G11"/>
    <mergeCell ref="B12:G12"/>
    <mergeCell ref="B15:G15"/>
    <mergeCell ref="B16:G16"/>
    <mergeCell ref="B17:G17"/>
    <mergeCell ref="B18:G18"/>
    <mergeCell ref="B21:G21"/>
    <mergeCell ref="B26:G26"/>
    <mergeCell ref="B24:G24"/>
    <mergeCell ref="B22:G22"/>
    <mergeCell ref="B23:G23"/>
    <mergeCell ref="B6:G6"/>
    <mergeCell ref="B1:G1"/>
    <mergeCell ref="B2:G2"/>
    <mergeCell ref="B3:G3"/>
    <mergeCell ref="B4:G4"/>
    <mergeCell ref="B5:G5"/>
    <mergeCell ref="B25:G25"/>
    <mergeCell ref="B20:G20"/>
    <mergeCell ref="B13:G13"/>
    <mergeCell ref="B14:G14"/>
    <mergeCell ref="B19:G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36</vt:i4>
      </vt:variant>
    </vt:vector>
  </HeadingPairs>
  <TitlesOfParts>
    <vt:vector size="40" baseType="lpstr">
      <vt:lpstr>fiche de paye</vt:lpstr>
      <vt:lpstr>EVS Pt fonctions</vt:lpstr>
      <vt:lpstr>tableaux_primes_et_indiciaires</vt:lpstr>
      <vt:lpstr>version</vt:lpstr>
      <vt:lpstr>l_année</vt:lpstr>
      <vt:lpstr>l_années</vt:lpstr>
      <vt:lpstr>l_EVS</vt:lpstr>
      <vt:lpstr>l_EVSfonction</vt:lpstr>
      <vt:lpstr>l_evsmontant</vt:lpstr>
      <vt:lpstr>L_fonctions</vt:lpstr>
      <vt:lpstr>l_grade</vt:lpstr>
      <vt:lpstr>L_gradeindice</vt:lpstr>
      <vt:lpstr>L_gradeindicetech</vt:lpstr>
      <vt:lpstr>l_montant_CDG</vt:lpstr>
      <vt:lpstr>l_montant_prime_géo</vt:lpstr>
      <vt:lpstr>l_montant_psc</vt:lpstr>
      <vt:lpstr>l_montant_RIT</vt:lpstr>
      <vt:lpstr>l_montantpeq</vt:lpstr>
      <vt:lpstr>l_montantresidence</vt:lpstr>
      <vt:lpstr>L_nb_de_nuits</vt:lpstr>
      <vt:lpstr>l_nb_nuits</vt:lpstr>
      <vt:lpstr>l_nbenfantsacharge</vt:lpstr>
      <vt:lpstr>l_nbi</vt:lpstr>
      <vt:lpstr>l_niveauEVS</vt:lpstr>
      <vt:lpstr>l_part_experience</vt:lpstr>
      <vt:lpstr>l_peq</vt:lpstr>
      <vt:lpstr>l_prime_CDG</vt:lpstr>
      <vt:lpstr>l_prime_géo</vt:lpstr>
      <vt:lpstr>l_psc</vt:lpstr>
      <vt:lpstr>l_ptnbi</vt:lpstr>
      <vt:lpstr>l_residence</vt:lpstr>
      <vt:lpstr>l_RIT</vt:lpstr>
      <vt:lpstr>L_stades_protocole_2016</vt:lpstr>
      <vt:lpstr>l_supplfamilial</vt:lpstr>
      <vt:lpstr>l_tauxPC</vt:lpstr>
      <vt:lpstr>part_experience</vt:lpstr>
      <vt:lpstr>Prime_CDG</vt:lpstr>
      <vt:lpstr>Stade_protocole_2016</vt:lpstr>
      <vt:lpstr>'fiche de paye'!Zone_d_impression</vt:lpstr>
      <vt:lpstr>tableaux_primes_et_indiciaires!Zone_d_impression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lbh</dc:creator>
  <cp:lastModifiedBy>jean-yves LE BIHAN</cp:lastModifiedBy>
  <cp:lastPrinted>2017-07-13T12:21:18Z</cp:lastPrinted>
  <dcterms:created xsi:type="dcterms:W3CDTF">2012-08-15T16:23:20Z</dcterms:created>
  <dcterms:modified xsi:type="dcterms:W3CDTF">2024-11-29T09:42:05Z</dcterms:modified>
</cp:coreProperties>
</file>