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120" yWindow="120" windowWidth="19320" windowHeight="13605" tabRatio="545"/>
  </bookViews>
  <sheets>
    <sheet name="fiche de paye" sheetId="2" r:id="rId1"/>
    <sheet name="tableaux primes et indiciaires" sheetId="6" r:id="rId2"/>
    <sheet name="version" sheetId="7" r:id="rId3"/>
  </sheets>
  <definedNames>
    <definedName name="l_année">'tableaux primes et indiciaires'!$B$81:$B$88</definedName>
    <definedName name="l_années">'tableaux primes et indiciaires'!$B$81:$B$88</definedName>
    <definedName name="l_EVS">'tableaux primes et indiciaires'!$F$4:$H$15</definedName>
    <definedName name="l_EVSfonction">'tableaux primes et indiciaires'!$F$4:$H$15</definedName>
    <definedName name="l_evsmontant">'tableaux primes et indiciaires'!$G$4:$H$15</definedName>
    <definedName name="l_grade">'tableaux primes et indiciaires'!$B$4:$B$58</definedName>
    <definedName name="L_gradeindice">'tableaux primes et indiciaires'!$B$4:$C$58</definedName>
    <definedName name="L_gradeindicetech">'tableaux primes et indiciaires'!$B$4:$D$58:'tableaux primes et indiciaires'!$C$58</definedName>
    <definedName name="l_montant_CDG">'tableaux primes et indiciaires'!$F$48:$G$49</definedName>
    <definedName name="l_montantPCS">'tableaux primes et indiciaires'!$F$32:$G$36</definedName>
    <definedName name="l_montantpeq">'tableaux primes et indiciaires'!$F$19:$J$23</definedName>
    <definedName name="l_montantresidence">'tableaux primes et indiciaires'!$B$75:$D$77</definedName>
    <definedName name="l_nbenfantsacharge">'tableaux primes et indiciaires'!$B$61:$B$71</definedName>
    <definedName name="l_nbi">'tableaux primes et indiciaires'!$F$27:$G$28</definedName>
    <definedName name="l_niveauEVS">'tableaux primes et indiciaires'!$G$4:$G$15</definedName>
    <definedName name="l_PCS">'tableaux primes et indiciaires'!$F$32:$F$36</definedName>
    <definedName name="l_peq">'tableaux primes et indiciaires'!$F$19:$F$23</definedName>
    <definedName name="l_prime_CDG">'tableaux primes et indiciaires'!$F$48:$F$49</definedName>
    <definedName name="l_ptnbi">'tableaux primes et indiciaires'!$F$27:$F$28</definedName>
    <definedName name="l_residence">'tableaux primes et indiciaires'!$B$75:$B$77</definedName>
    <definedName name="l_supplfamilial">'tableaux primes et indiciaires'!$B$61:$F$71</definedName>
    <definedName name="l_tauxPC">'tableaux primes et indiciaires'!$B$81:$E$88</definedName>
    <definedName name="Prime_CDG">'fiche de paye'!$B$15</definedName>
    <definedName name="Stade_protocole_2016">'tableaux primes et indiciaires'!$B$93:$C$96</definedName>
    <definedName name="_xlnm.Print_Area" localSheetId="0">'fiche de paye'!$A$1:$D$32</definedName>
    <definedName name="_xlnm.Print_Area" localSheetId="1">'tableaux primes et indiciaires'!$B$1:$J$88</definedName>
  </definedNames>
  <calcPr calcId="145621"/>
</workbook>
</file>

<file path=xl/calcChain.xml><?xml version="1.0" encoding="utf-8"?>
<calcChain xmlns="http://schemas.openxmlformats.org/spreadsheetml/2006/main">
  <c r="C16" i="2" l="1"/>
  <c r="C12" i="2"/>
  <c r="C14" i="2"/>
  <c r="G35" i="6"/>
  <c r="B2" i="2"/>
  <c r="D75" i="6" s="1"/>
  <c r="G23" i="6"/>
  <c r="G22" i="6"/>
  <c r="G21" i="6"/>
  <c r="G20" i="6"/>
  <c r="C15" i="2"/>
  <c r="C11" i="2"/>
  <c r="G34" i="6"/>
  <c r="G36" i="6"/>
  <c r="C13" i="2"/>
  <c r="C65" i="6"/>
  <c r="C66" i="6"/>
  <c r="C67" i="6"/>
  <c r="C68" i="6"/>
  <c r="C69" i="6"/>
  <c r="C70" i="6"/>
  <c r="C71" i="6"/>
  <c r="D65" i="6"/>
  <c r="D66" i="6"/>
  <c r="D67" i="6"/>
  <c r="D68" i="6"/>
  <c r="D69" i="6"/>
  <c r="D70" i="6"/>
  <c r="D71" i="6"/>
  <c r="F66" i="6"/>
  <c r="C4" i="2"/>
  <c r="F71" i="6"/>
  <c r="E67" i="6"/>
  <c r="F65" i="6"/>
  <c r="E63" i="6"/>
  <c r="F64" i="6"/>
  <c r="E65" i="6"/>
  <c r="F70" i="6"/>
  <c r="F67" i="6"/>
  <c r="E70" i="6"/>
  <c r="F63" i="6"/>
  <c r="C9" i="2"/>
  <c r="D7" i="2" s="1"/>
  <c r="E69" i="6"/>
  <c r="E68" i="6"/>
  <c r="F68" i="6"/>
  <c r="D76" i="6"/>
  <c r="E64" i="6"/>
  <c r="E66" i="6"/>
  <c r="E71" i="6"/>
  <c r="F69" i="6"/>
  <c r="C8" i="2" l="1"/>
  <c r="C26" i="2" s="1"/>
  <c r="D31" i="2"/>
  <c r="C10" i="2"/>
  <c r="D5" i="2"/>
  <c r="D21" i="2" l="1"/>
  <c r="D18" i="2"/>
  <c r="C25" i="2"/>
  <c r="D19" i="2" l="1"/>
  <c r="D20" i="2"/>
  <c r="D22" i="2"/>
  <c r="C27" i="2"/>
  <c r="D25" i="2" l="1"/>
  <c r="D29" i="2" s="1"/>
  <c r="D32" i="2" s="1"/>
</calcChain>
</file>

<file path=xl/comments1.xml><?xml version="1.0" encoding="utf-8"?>
<comments xmlns="http://schemas.openxmlformats.org/spreadsheetml/2006/main">
  <authors>
    <author>GENERIQUE-XP</author>
    <author>Generique</author>
    <author>Microsoft</author>
    <author>Pinpin</author>
  </authors>
  <commentList>
    <comment ref="B1" authorId="0">
      <text>
        <r>
          <rPr>
            <b/>
            <sz val="8"/>
            <color indexed="81"/>
            <rFont val="Tahoma"/>
            <family val="2"/>
          </rPr>
          <t xml:space="preserve">Année:
</t>
        </r>
        <r>
          <rPr>
            <sz val="8"/>
            <color indexed="81"/>
            <rFont val="Tahoma"/>
            <family val="2"/>
          </rPr>
          <t>Veuillez sélectionner dans la liste déroulante une période ou une année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4" authorId="0">
      <text>
        <r>
          <rPr>
            <b/>
            <sz val="8"/>
            <color indexed="81"/>
            <rFont val="Tahoma"/>
            <family val="2"/>
          </rPr>
          <t xml:space="preserve">Grade échelon :
</t>
        </r>
        <r>
          <rPr>
            <sz val="8"/>
            <color indexed="81"/>
            <rFont val="Tahoma"/>
            <family val="2"/>
          </rPr>
          <t>Veuillez sélectionner dans la liste déroulante votre grade &amp; échelon
 ex D10 : divisionaire 10ième échelon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8" authorId="0">
      <text>
        <r>
          <rPr>
            <b/>
            <sz val="8"/>
            <color indexed="81"/>
            <rFont val="Tahoma"/>
            <family val="2"/>
          </rPr>
          <t>Indemnité de résidence:</t>
        </r>
        <r>
          <rPr>
            <sz val="8"/>
            <color indexed="81"/>
            <rFont val="Tahoma"/>
            <family val="2"/>
          </rPr>
          <t xml:space="preserve">
Veuillez sélectionner dans la liste déroulante votre taux d'indemnité de résidence.
</t>
        </r>
      </text>
    </comment>
    <comment ref="B9" authorId="0">
      <text>
        <r>
          <rPr>
            <b/>
            <sz val="8"/>
            <color indexed="81"/>
            <rFont val="Tahoma"/>
            <family val="2"/>
          </rPr>
          <t xml:space="preserve">Pt NBI: 
</t>
        </r>
        <r>
          <rPr>
            <sz val="8"/>
            <color indexed="81"/>
            <rFont val="Tahoma"/>
            <family val="2"/>
          </rPr>
          <t>Veuillez indiquez le nombre de point NBI. 75 pts à partir de 35 ans ou QTS+10</t>
        </r>
        <r>
          <rPr>
            <sz val="8"/>
            <color indexed="81"/>
            <rFont val="Tahoma"/>
            <family val="2"/>
          </rPr>
          <t xml:space="preserve">
 </t>
        </r>
      </text>
    </comment>
    <comment ref="B10" authorId="0">
      <text>
        <r>
          <rPr>
            <b/>
            <sz val="8"/>
            <color indexed="81"/>
            <rFont val="Tahoma"/>
            <family val="2"/>
          </rPr>
          <t xml:space="preserve">Supplément familial:
</t>
        </r>
        <r>
          <rPr>
            <sz val="8"/>
            <color indexed="81"/>
            <rFont val="Tahoma"/>
            <family val="2"/>
          </rPr>
          <t>Veuillez sélectionner dans la liste déroulante le nombre d'enfants à charge de moins de 20 ans.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11" authorId="0">
      <text>
        <r>
          <rPr>
            <b/>
            <sz val="8"/>
            <color indexed="81"/>
            <rFont val="Tahoma"/>
            <family val="2"/>
          </rPr>
          <t xml:space="preserve">Prime de technicité:
</t>
        </r>
        <r>
          <rPr>
            <sz val="8"/>
            <color indexed="81"/>
            <rFont val="Tahoma"/>
            <family val="2"/>
          </rPr>
          <t>le montant de la prime est déterminée automatiquement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12" authorId="0">
      <text>
        <r>
          <rPr>
            <b/>
            <sz val="8"/>
            <color indexed="81"/>
            <rFont val="Tahoma"/>
            <family val="2"/>
          </rPr>
          <t xml:space="preserve">EVS:
</t>
        </r>
        <r>
          <rPr>
            <sz val="8"/>
            <color indexed="81"/>
            <rFont val="Tahoma"/>
            <family val="2"/>
          </rPr>
          <t>Veuillez indiquer votre niveau d'EVS.
Vous pouvez allez sur la feuille "tableaux primes et indiciaires" pour déterminer votre niveau d'EVS 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13" authorId="0">
      <text>
        <r>
          <rPr>
            <b/>
            <sz val="8"/>
            <color indexed="81"/>
            <rFont val="Tahoma"/>
            <family val="2"/>
          </rPr>
          <t xml:space="preserve">PCS: 
</t>
        </r>
        <r>
          <rPr>
            <sz val="8"/>
            <color indexed="81"/>
            <rFont val="Tahoma"/>
            <family val="2"/>
          </rPr>
          <t>Veuillez sélectionner dans la liste déroulante votre niveau de  PCS.
les agents logés en utilité de service perçoivent 60% de la PCS.</t>
        </r>
        <r>
          <rPr>
            <sz val="8"/>
            <color indexed="81"/>
            <rFont val="Tahoma"/>
            <family val="2"/>
          </rPr>
          <t xml:space="preserve">
Les agents logés par nécessité  absolue de service ne perçoivent pas de PCS</t>
        </r>
      </text>
    </comment>
    <comment ref="B14" authorId="0">
      <text>
        <r>
          <rPr>
            <b/>
            <sz val="8"/>
            <color indexed="81"/>
            <rFont val="Tahoma"/>
            <family val="2"/>
          </rPr>
          <t xml:space="preserve">PEQ: 
</t>
        </r>
        <r>
          <rPr>
            <sz val="8"/>
            <color indexed="81"/>
            <rFont val="Tahoma"/>
            <family val="2"/>
          </rPr>
          <t>Veuillez sélectionner dans la liste déroulante votre niveau de PEQ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15" authorId="1">
      <text>
        <r>
          <rPr>
            <b/>
            <sz val="8"/>
            <color indexed="81"/>
            <rFont val="Tahoma"/>
            <family val="2"/>
          </rPr>
          <t xml:space="preserve">Prime CDG :
</t>
        </r>
        <r>
          <rPr>
            <sz val="8"/>
            <color indexed="81"/>
            <rFont val="Tahoma"/>
            <family val="2"/>
          </rPr>
          <t xml:space="preserve">Veuillez indiquer si vous êtes à CDG
</t>
        </r>
      </text>
    </comment>
    <comment ref="B16" authorId="2">
      <text>
        <r>
          <rPr>
            <b/>
            <sz val="9"/>
            <color indexed="81"/>
            <rFont val="Tahoma"/>
            <family val="2"/>
          </rPr>
          <t>Veuillez indiquer le niveau de réorganisation protocole 2016 : pas de réorganisation, stade A, stade B ou stade projet de service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6" authorId="0">
      <text>
        <r>
          <rPr>
            <b/>
            <sz val="8"/>
            <color indexed="81"/>
            <rFont val="Tahoma"/>
            <family val="2"/>
          </rPr>
          <t>Indemnité exceptionnelle:</t>
        </r>
        <r>
          <rPr>
            <sz val="8"/>
            <color indexed="81"/>
            <rFont val="Tahoma"/>
            <family val="2"/>
          </rPr>
          <t xml:space="preserve">
Veuillez éventuelllement indiquer le montant de votre indemnité exceptionnelle. Cette indemnité n'existe plus pour les agents arrivés dans la FP après 1998.</t>
        </r>
      </text>
    </comment>
    <comment ref="A17" authorId="3">
      <text>
        <r>
          <rPr>
            <b/>
            <sz val="9"/>
            <color indexed="81"/>
            <rFont val="Tahoma"/>
            <family val="2"/>
          </rPr>
          <t>Renseigner ici le montant de l'indemnité dégressive</t>
        </r>
      </text>
    </comment>
    <comment ref="C17" authorId="0">
      <text>
        <r>
          <rPr>
            <b/>
            <sz val="8"/>
            <color indexed="81"/>
            <rFont val="Tahoma"/>
            <family val="2"/>
          </rPr>
          <t xml:space="preserve">Autres primes:
</t>
        </r>
        <r>
          <rPr>
            <sz val="8"/>
            <color indexed="81"/>
            <rFont val="Tahoma"/>
            <family val="2"/>
          </rPr>
          <t xml:space="preserve">Vous pouvez saisir les autres primes ou indemnités ( indemnité de nuit, astreinte,..).
Pour saisir plusieurs primes, on peut utiliser les signes = et + : exemple </t>
        </r>
        <r>
          <rPr>
            <sz val="8"/>
            <color indexed="81"/>
            <rFont val="Tahoma"/>
            <family val="2"/>
          </rPr>
          <t xml:space="preserve">
"= 500+43,65" </t>
        </r>
      </text>
    </comment>
    <comment ref="D23" authorId="0">
      <text>
        <r>
          <rPr>
            <b/>
            <sz val="8"/>
            <color indexed="81"/>
            <rFont val="Tahoma"/>
            <family val="2"/>
          </rPr>
          <t>Autres prélevements:</t>
        </r>
        <r>
          <rPr>
            <sz val="8"/>
            <color indexed="81"/>
            <rFont val="Tahoma"/>
            <family val="2"/>
          </rPr>
          <t xml:space="preserve">
Vous pouvez saisir les autres prélèvements (MNAM, PREFOND,…)
Pour saisir plusieurs montants on peut utiliser les signes = et + : exemple 
"= 500+43,65" </t>
        </r>
      </text>
    </comment>
    <comment ref="C27" authorId="0">
      <text>
        <r>
          <rPr>
            <b/>
            <sz val="8"/>
            <color indexed="81"/>
            <rFont val="Tahoma"/>
            <family val="2"/>
          </rPr>
          <t>Ratio primes/traitement brut:</t>
        </r>
        <r>
          <rPr>
            <sz val="8"/>
            <color indexed="81"/>
            <rFont val="Tahoma"/>
            <family val="2"/>
          </rPr>
          <t xml:space="preserve">
Indique la part des primes sur le traitement total brut. Les montants de l'indemnité exceptionnelle et du remboursement du transport ne sont pas pris en compte
</t>
        </r>
      </text>
    </comment>
    <comment ref="D29" authorId="0">
      <text>
        <r>
          <rPr>
            <sz val="8"/>
            <color indexed="81"/>
            <rFont val="Tahoma"/>
            <family val="2"/>
          </rPr>
          <t xml:space="preserve">Il peut exister une très  légère différence entre le simulateur et une fiche de paye réelle. Cette différence est due aux arrondis effectués.  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32" authorId="2">
      <text>
        <r>
          <rPr>
            <b/>
            <sz val="9"/>
            <color indexed="81"/>
            <rFont val="Tahoma"/>
            <family val="2"/>
          </rPr>
          <t>Ratio entre montant net en retraite et montant net en activité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32" authorId="2">
      <text>
        <r>
          <rPr>
            <b/>
            <sz val="9"/>
            <color indexed="81"/>
            <rFont val="Tahoma"/>
            <family val="2"/>
          </rPr>
          <t>Ratio entre montant net en retraite et montant net en activité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<sst xmlns="http://schemas.openxmlformats.org/spreadsheetml/2006/main" count="214" uniqueCount="200">
  <si>
    <t>indemnité de résidence</t>
  </si>
  <si>
    <t>taux 1  (3% du brut + NBI)</t>
  </si>
  <si>
    <t>taux 2  (1% du brut + NBI)</t>
  </si>
  <si>
    <t>taux 3 (0%)</t>
  </si>
  <si>
    <t>plancher</t>
  </si>
  <si>
    <t>%</t>
  </si>
  <si>
    <t>A payer</t>
  </si>
  <si>
    <t xml:space="preserve"> A déduire</t>
  </si>
  <si>
    <t>NBI</t>
  </si>
  <si>
    <t>IM</t>
  </si>
  <si>
    <t>Eleve</t>
  </si>
  <si>
    <t>N1</t>
  </si>
  <si>
    <t>N2</t>
  </si>
  <si>
    <t>N3</t>
  </si>
  <si>
    <t>N4</t>
  </si>
  <si>
    <t>N5</t>
  </si>
  <si>
    <t>N6</t>
  </si>
  <si>
    <t>N7</t>
  </si>
  <si>
    <t>N8</t>
  </si>
  <si>
    <t>N9</t>
  </si>
  <si>
    <t>N10</t>
  </si>
  <si>
    <t>P1</t>
  </si>
  <si>
    <t>P2</t>
  </si>
  <si>
    <t>P3</t>
  </si>
  <si>
    <t>P4</t>
  </si>
  <si>
    <t>P5</t>
  </si>
  <si>
    <t>P6</t>
  </si>
  <si>
    <t>P7</t>
  </si>
  <si>
    <t>P8</t>
  </si>
  <si>
    <t>P9</t>
  </si>
  <si>
    <t>D1</t>
  </si>
  <si>
    <t>D2</t>
  </si>
  <si>
    <t>D3</t>
  </si>
  <si>
    <t>D6</t>
  </si>
  <si>
    <t>D8</t>
  </si>
  <si>
    <t>D10</t>
  </si>
  <si>
    <t>HEA1</t>
  </si>
  <si>
    <t>HEA2</t>
  </si>
  <si>
    <t>HEA3</t>
  </si>
  <si>
    <t>Stagiaire</t>
  </si>
  <si>
    <t>EVS</t>
  </si>
  <si>
    <t>PEQ</t>
  </si>
  <si>
    <t>Grade/échelon - Taux prime -remarque</t>
  </si>
  <si>
    <t>98,25% de 2,4% du brut+primes</t>
  </si>
  <si>
    <t>98,25% de 5,1% du brut+primes</t>
  </si>
  <si>
    <t xml:space="preserve"> 98,25% de 0,5% du brut +primes</t>
  </si>
  <si>
    <t>5% des primes limité à 20% du salaire brut</t>
  </si>
  <si>
    <t>Entre 8,39% et 10,80 du salaire brut</t>
  </si>
  <si>
    <t>Entre 8,39% et 10,80 de la NBI</t>
  </si>
  <si>
    <t>IESSA affecté</t>
  </si>
  <si>
    <t>IESSA stagiaire examen professionnel après 9 mois d'affectation et 4 modules ENAC
IESSA stagiaire ayant réussi sa filière de spécialisation</t>
  </si>
  <si>
    <t>IESSA titulaire de la QT</t>
  </si>
  <si>
    <t>IESSA assistant de classe B</t>
  </si>
  <si>
    <t>IESSA QTS , assistant de classe A</t>
  </si>
  <si>
    <t>IESSA Chef de service technique et son adjoint, adjoint de chef de domaine à la DTI, chef département ENAC et DSNA, adjoint chef CRNA et SNAC-CE, SE et SSE, adjoint chef organisme Roissy, chef pôle DSAC, chef de bureau</t>
  </si>
  <si>
    <t>PEQ QTS &lt; 10 ans, service non réorganisé</t>
  </si>
  <si>
    <t>PEQ QTS &lt; 10 ans, service réorganisé</t>
  </si>
  <si>
    <t>PEQ QTS ≥ 10 ans, service réorganisé</t>
  </si>
  <si>
    <t>PEQ QTS ≥ 10 ans, service non réorganisé</t>
  </si>
  <si>
    <t>montant</t>
  </si>
  <si>
    <t>PEQ pas de QTS</t>
  </si>
  <si>
    <t>IESSA non affecté</t>
  </si>
  <si>
    <t>pas d'EVS</t>
  </si>
  <si>
    <t>pt NBI</t>
  </si>
  <si>
    <t>0 pt</t>
  </si>
  <si>
    <t>75 pt</t>
  </si>
  <si>
    <t>0 enfant à charge de moins de 20 ans</t>
  </si>
  <si>
    <t>1 enfant à charge de moins de 20 ans</t>
  </si>
  <si>
    <t>2 enfants à charge de moins de 20 ans</t>
  </si>
  <si>
    <t>3 enfants à charge de moins de 20 ans</t>
  </si>
  <si>
    <t>4 enfants à charge de moins de 20 ans</t>
  </si>
  <si>
    <t>5 enfants à charge de moins de 20 ans</t>
  </si>
  <si>
    <t>6 enfants à charge de moins de 20 ans</t>
  </si>
  <si>
    <t>7 enfants à charge de moins de 20 ans</t>
  </si>
  <si>
    <t>8 enfants à charge de moins de 20 ans</t>
  </si>
  <si>
    <t>9 enfants à charge de moins de 20 ans</t>
  </si>
  <si>
    <t>10 enfants à charge de moins de 20 ans</t>
  </si>
  <si>
    <t xml:space="preserve">fixe suplément familial </t>
  </si>
  <si>
    <t>Année:</t>
  </si>
  <si>
    <t>Valeur du point d'indice net majoré :</t>
  </si>
  <si>
    <t>saisir le montant :</t>
  </si>
  <si>
    <t>calculée automatiquement</t>
  </si>
  <si>
    <t>Autres primes</t>
  </si>
  <si>
    <t>Autres retraits ( PREFON, MNAM,…)</t>
  </si>
  <si>
    <t>Salaire</t>
  </si>
  <si>
    <t>PCS</t>
  </si>
  <si>
    <t>Pas de PCS</t>
  </si>
  <si>
    <t>TRAITEMENT BRUT</t>
  </si>
  <si>
    <t>RETENUE PC</t>
  </si>
  <si>
    <t>RETENUE PC NBI</t>
  </si>
  <si>
    <t>INDEMNITE DE RESIDENCE</t>
  </si>
  <si>
    <t>TRAITEMENT BRUT NBI</t>
  </si>
  <si>
    <t>SUPP FAMILIAL TRAITEMENT</t>
  </si>
  <si>
    <t>INDEMNITE DE TECHNICITE</t>
  </si>
  <si>
    <t>PRIME EVS</t>
  </si>
  <si>
    <t>PRIME PCS</t>
  </si>
  <si>
    <t>C.S.G NON DEDUCTIBLE</t>
  </si>
  <si>
    <t>C.S.G DEDUCTIBLE</t>
  </si>
  <si>
    <t>C.R.D.S</t>
  </si>
  <si>
    <t>COT SAL RAFP</t>
  </si>
  <si>
    <t>CONTRIBUTION SOLIDARITE</t>
  </si>
  <si>
    <t>TOTAL</t>
  </si>
  <si>
    <t>TOTAL PRIMES</t>
  </si>
  <si>
    <t>RATIO PRIMES/TOTAL BRUT</t>
  </si>
  <si>
    <t>NET A PAYER</t>
  </si>
  <si>
    <t>REMBT DOMICILE-TRAVAIL</t>
  </si>
  <si>
    <t>hors remboursement domicile travail</t>
  </si>
  <si>
    <t>Version</t>
  </si>
  <si>
    <t>V2</t>
  </si>
  <si>
    <t>Intégration des échelons des CSTAC et CUTAC</t>
  </si>
  <si>
    <t>Evolution</t>
  </si>
  <si>
    <t>CUTAC 2</t>
  </si>
  <si>
    <t>CUTAC 4</t>
  </si>
  <si>
    <t xml:space="preserve">D4 </t>
  </si>
  <si>
    <t xml:space="preserve">D7 </t>
  </si>
  <si>
    <t xml:space="preserve">D9 </t>
  </si>
  <si>
    <t xml:space="preserve">D11 </t>
  </si>
  <si>
    <t xml:space="preserve">D5 </t>
  </si>
  <si>
    <t>CUTAC 1</t>
  </si>
  <si>
    <t>CUTAC 3</t>
  </si>
  <si>
    <t>CUTAC 5</t>
  </si>
  <si>
    <t>CSTAC 1</t>
  </si>
  <si>
    <t>CSTAC 2</t>
  </si>
  <si>
    <t>CSTAC 3</t>
  </si>
  <si>
    <t>CSTAC 4</t>
  </si>
  <si>
    <t>CSTAC 5</t>
  </si>
  <si>
    <t>CSTAC 6</t>
  </si>
  <si>
    <t>CSTAC 7</t>
  </si>
  <si>
    <t>Nb enfants</t>
  </si>
  <si>
    <t>Coefficient pour l'élément proportionnel</t>
  </si>
  <si>
    <t xml:space="preserve">Montant plancher suplément familial </t>
  </si>
  <si>
    <t xml:space="preserve">Montant plafond suplément familial </t>
  </si>
  <si>
    <t>Niveau</t>
  </si>
  <si>
    <t>Montant brut</t>
  </si>
  <si>
    <t>Prime technicité</t>
  </si>
  <si>
    <t>Intégration de la prime CDG</t>
  </si>
  <si>
    <t>Prime CDG</t>
  </si>
  <si>
    <t>Pas de prime CDG</t>
  </si>
  <si>
    <t xml:space="preserve"> </t>
  </si>
  <si>
    <t>V3</t>
  </si>
  <si>
    <t>année</t>
  </si>
  <si>
    <t>2020</t>
  </si>
  <si>
    <t>V4</t>
  </si>
  <si>
    <t>modification taux PC : +0,06% en 2014, +0,08% en 2015,2016,2017</t>
  </si>
  <si>
    <t>Plage de validité des primes  :</t>
  </si>
  <si>
    <t>&lt; &gt;</t>
  </si>
  <si>
    <t>V5</t>
  </si>
  <si>
    <t>V6</t>
  </si>
  <si>
    <t>augmentation primes entre le 1/1/2013 et le 30/6/2014</t>
  </si>
  <si>
    <t>augmentation primes entre le 1/7/2014 et le 30/6/2015</t>
  </si>
  <si>
    <t>Chef d'organisme d'Orly, de Roissy, chef du SNA RP, Chef de CRNA, chef de SNA sauf SNA OI, Polynésie et Nouvelle-Calédonie, chef du SIA, Chef du CESNA, Chef du CEDRe, Chef de mission de la DSNA, Chargé de domaine à la DTI, chef de mission SG/SDP</t>
  </si>
  <si>
    <t>V6-1</t>
  </si>
  <si>
    <t>EC1</t>
  </si>
  <si>
    <t>EC2</t>
  </si>
  <si>
    <t>EC3</t>
  </si>
  <si>
    <t>EC4</t>
  </si>
  <si>
    <t>EC5</t>
  </si>
  <si>
    <t>EC6 HEA1</t>
  </si>
  <si>
    <t>EC6 HEA2</t>
  </si>
  <si>
    <t>EC6 HEA3</t>
  </si>
  <si>
    <t>augmentation primes entre le 1/7/2015 et le 30/6/2016 - ajout grade IESSA En Chef (Rev ATHR)</t>
  </si>
  <si>
    <t>V6-2</t>
  </si>
  <si>
    <t>Modification du périmètre de la PCS (Rev ATHR)</t>
  </si>
  <si>
    <t>V7</t>
  </si>
  <si>
    <t>Augmentation des primes au 1/7/2016</t>
  </si>
  <si>
    <t>V8</t>
  </si>
  <si>
    <t>changement de la valeur du pt d'indice et montant PCS</t>
  </si>
  <si>
    <t>V9</t>
  </si>
  <si>
    <t>valeur pt indice</t>
  </si>
  <si>
    <t>% retenu PC</t>
  </si>
  <si>
    <t>Centres du Nord et de l'Est en horaire de bureau</t>
  </si>
  <si>
    <t>Centres du Nord et de l'Est en horaire programmé ou permanent</t>
  </si>
  <si>
    <t>Agent du Nord et de l'Est en HB et logé par utilité de service.</t>
  </si>
  <si>
    <t>Agent du Nord et de l'Est en H prog. ou perm. et logé par utilité de service.</t>
  </si>
  <si>
    <t>Détermination automatique du pt d'indice en fonction de l'année &amp;  rajout PCS en logement utilité de service
Estimation de la retraite à taux plein</t>
  </si>
  <si>
    <t>Taux de remplacement :</t>
  </si>
  <si>
    <t>Montant net de la retraite à taux plein (75% TB sans majoration ou décote), sans la RAFP ni la NBI :</t>
  </si>
  <si>
    <t xml:space="preserve">montant </t>
  </si>
  <si>
    <t>col PEQ</t>
  </si>
  <si>
    <t>janvier 2018  &lt;-&gt;   juin 2018</t>
  </si>
  <si>
    <t>juillet 2016   &lt;-&gt;  décembre 2016</t>
  </si>
  <si>
    <t>janvier 2017</t>
  </si>
  <si>
    <t>février 2017   &lt;-&gt; juin 2017</t>
  </si>
  <si>
    <t xml:space="preserve">juillet 2017   &lt;-&gt; décembre 2017 </t>
  </si>
  <si>
    <t xml:space="preserve">juillet  2018  &lt;-&gt;   décembre 2018 </t>
  </si>
  <si>
    <t xml:space="preserve">2019 </t>
  </si>
  <si>
    <t>V10</t>
  </si>
  <si>
    <t>intégration augmentation PEQ du protocole 2016</t>
  </si>
  <si>
    <t>Stade</t>
  </si>
  <si>
    <t>prime</t>
  </si>
  <si>
    <t>stade A</t>
  </si>
  <si>
    <t>Stade B</t>
  </si>
  <si>
    <t>Stade projet de service</t>
  </si>
  <si>
    <t>Stade protocole 2016</t>
  </si>
  <si>
    <t>Pas d'expérimentation protocole 2016</t>
  </si>
  <si>
    <t>IESSA assistant de sub et EC (excepté ceux aux taux 12), détaché 12/36 mois, chef de section,responsable DO, insructeur ENAC, RSO, DMS PMS, expert DTI, instructeur ATSEP, coordonateur formation, chef maintenance locale en horaire programmé</t>
  </si>
  <si>
    <t>IESSA chef de sub, ES et chef de programme ( DTI, DO/EC, DSAC, DSAC/IR, SAC, SEAC, sièges SNA ou organismes de groupe A, CRNA, ENAC, CESNAC, SIA); chef de division, chef de projet, expert sénior, coordonateur de site, chef de pôle et adjoint, chef de cellule, chef de maintenance régionale, inspecteur d'étude à l'ENAC et ajoint chef de département, RSMI sauf SNA-OI, chef SNA-OI  et son adjoint, chef SAC/SPM</t>
  </si>
  <si>
    <t xml:space="preserve">
Ce simulateur de paye réalisé par l'UNSA-IESSA intègre les augmentations des prélèvements retraite jusqu'en 2020 (modification en B1)_x000D_ et les revalorisations du protocole 2016.
Il suffit de remplir les cellules sur fond bleu (sélection d'élément dans les listes_x000D_ ou saisie directe de la valeur)._x000D_
bn@iessa.org_x000D_
</t>
  </si>
  <si>
    <t>IESSA chef de sub, ES,chef de programme (exceptés ceux aux taux 13), assistant de sub, EC (DO/EC, sièges SNA ou DSAC/IR ou SAC ou SEAC ou organismes groupe A, CRNA,ENAC, CESNAC,SIA), CDST, Chef de maintenance locale à horaires de bureau, chargé de projet, chargé d'affaire, expert confirmé DTI, instructeur licence</t>
  </si>
  <si>
    <t>IESSA STM, détaché, RSO sans QTS, assistant de classe 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</si>
</sst>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8" formatCode="#,##0.00\ &quot;€&quot;;[Red]\-#,##0.00\ &quot;€&quot;"/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#,##0.00\ &quot;€&quot;"/>
    <numFmt numFmtId="165" formatCode="_-* #,##0.00\ [$€-40C]_-;\-* #,##0.00\ [$€-40C]_-;_-* &quot;-&quot;??\ [$€-40C]_-;_-@_-"/>
    <numFmt numFmtId="166" formatCode="_-* #,##0.000000\ &quot;€&quot;_-;\-* #,##0.000000\ &quot;€&quot;_-;_-* &quot;-&quot;??\ &quot;€&quot;_-;_-@_-"/>
    <numFmt numFmtId="167" formatCode="#,##0.00_ ;\-#,##0.00\ "/>
    <numFmt numFmtId="168" formatCode="#,##0.000_ ;\-#,##0.000\ "/>
    <numFmt numFmtId="169" formatCode="_-* #,##0.00\ &quot;€&quot;_-;\-* #,##0.00\ &quot;€&quot;_-;_-* &quot;-&quot;???\ &quot;€&quot;_-;_-@_-"/>
    <numFmt numFmtId="170" formatCode="_-* #,##0.00\ [$€-40C]_-;\-* #,##0.00\ [$€-40C]_-;_-* &quot;-&quot;???\ [$€-40C]_-;_-@_-"/>
  </numFmts>
  <fonts count="29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8"/>
      <name val="Calibri"/>
      <family val="2"/>
    </font>
    <font>
      <sz val="11"/>
      <color indexed="8"/>
      <name val="Arial"/>
      <family val="2"/>
    </font>
    <font>
      <sz val="8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i/>
      <sz val="10"/>
      <color indexed="8"/>
      <name val="Arial"/>
      <family val="2"/>
    </font>
    <font>
      <u/>
      <sz val="10"/>
      <color indexed="8"/>
      <name val="Arial"/>
      <family val="2"/>
    </font>
    <font>
      <i/>
      <sz val="10"/>
      <name val="Arial"/>
      <family val="2"/>
    </font>
    <font>
      <u/>
      <sz val="10"/>
      <name val="Arial"/>
      <family val="2"/>
    </font>
    <font>
      <sz val="11"/>
      <color indexed="8"/>
      <name val="Calibri"/>
      <family val="2"/>
    </font>
    <font>
      <sz val="10"/>
      <color indexed="9"/>
      <name val="Arial"/>
      <family val="2"/>
    </font>
    <font>
      <sz val="10"/>
      <color indexed="8"/>
      <name val="Arial"/>
      <family val="2"/>
    </font>
    <font>
      <b/>
      <sz val="10"/>
      <color indexed="63"/>
      <name val="Arial"/>
      <family val="2"/>
    </font>
    <font>
      <sz val="12"/>
      <color indexed="8"/>
      <name val="Arial"/>
      <family val="2"/>
    </font>
    <font>
      <sz val="12"/>
      <color indexed="8"/>
      <name val="Calibri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1"/>
      <color indexed="8"/>
      <name val="Calibri"/>
      <family val="2"/>
    </font>
    <font>
      <b/>
      <sz val="9"/>
      <color indexed="81"/>
      <name val="Tahoma"/>
      <family val="2"/>
    </font>
    <font>
      <sz val="10"/>
      <name val="Arial"/>
      <family val="2"/>
    </font>
    <font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rgb="FFF2F2F2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8">
    <xf numFmtId="0" fontId="0" fillId="0" borderId="0"/>
    <xf numFmtId="0" fontId="24" fillId="4" borderId="0" applyNumberFormat="0" applyBorder="0" applyAlignment="0" applyProtection="0"/>
    <xf numFmtId="0" fontId="25" fillId="5" borderId="0" applyNumberFormat="0" applyBorder="0" applyAlignment="0" applyProtection="0"/>
    <xf numFmtId="44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6" fillId="6" borderId="38" applyNumberFormat="0" applyAlignment="0" applyProtection="0"/>
  </cellStyleXfs>
  <cellXfs count="171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44" fontId="12" fillId="0" borderId="2" xfId="5" applyFont="1" applyBorder="1" applyAlignment="1">
      <alignment horizontal="center" vertical="center" wrapText="1"/>
    </xf>
    <xf numFmtId="8" fontId="0" fillId="0" borderId="2" xfId="0" applyNumberFormat="1" applyBorder="1" applyAlignment="1">
      <alignment horizontal="center" vertical="center"/>
    </xf>
    <xf numFmtId="44" fontId="12" fillId="0" borderId="2" xfId="5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44" fontId="12" fillId="0" borderId="4" xfId="5" applyFont="1" applyBorder="1" applyAlignment="1">
      <alignment horizontal="center" vertical="center"/>
    </xf>
    <xf numFmtId="43" fontId="12" fillId="0" borderId="2" xfId="4" applyFont="1" applyBorder="1" applyAlignment="1">
      <alignment horizontal="center" vertical="center" wrapText="1"/>
    </xf>
    <xf numFmtId="9" fontId="12" fillId="0" borderId="2" xfId="6" applyFont="1" applyBorder="1" applyAlignment="1">
      <alignment horizontal="center" vertical="center"/>
    </xf>
    <xf numFmtId="9" fontId="12" fillId="0" borderId="4" xfId="6" applyFont="1" applyBorder="1" applyAlignment="1">
      <alignment horizontal="center" vertical="center"/>
    </xf>
    <xf numFmtId="44" fontId="12" fillId="0" borderId="5" xfId="5" applyFont="1" applyBorder="1" applyAlignment="1">
      <alignment horizontal="center" vertical="center"/>
    </xf>
    <xf numFmtId="44" fontId="12" fillId="0" borderId="6" xfId="5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44" fontId="4" fillId="0" borderId="5" xfId="5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44" fontId="4" fillId="0" borderId="6" xfId="5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164" fontId="7" fillId="2" borderId="2" xfId="0" applyNumberFormat="1" applyFont="1" applyFill="1" applyBorder="1" applyAlignment="1">
      <alignment horizontal="center" vertical="center"/>
    </xf>
    <xf numFmtId="44" fontId="6" fillId="0" borderId="0" xfId="0" applyNumberFormat="1" applyFont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44" fontId="6" fillId="2" borderId="5" xfId="5" applyNumberFormat="1" applyFont="1" applyFill="1" applyBorder="1" applyAlignment="1">
      <alignment horizontal="right" vertical="center"/>
    </xf>
    <xf numFmtId="9" fontId="7" fillId="2" borderId="2" xfId="6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164" fontId="6" fillId="0" borderId="0" xfId="0" applyNumberFormat="1" applyFont="1" applyAlignment="1">
      <alignment horizontal="center" vertical="center"/>
    </xf>
    <xf numFmtId="0" fontId="6" fillId="2" borderId="7" xfId="0" applyFont="1" applyFill="1" applyBorder="1" applyAlignment="1">
      <alignment horizontal="right" vertical="center"/>
    </xf>
    <xf numFmtId="0" fontId="6" fillId="2" borderId="1" xfId="0" applyFont="1" applyFill="1" applyBorder="1" applyAlignment="1">
      <alignment horizontal="right" vertical="center"/>
    </xf>
    <xf numFmtId="164" fontId="7" fillId="2" borderId="8" xfId="0" applyNumberFormat="1" applyFont="1" applyFill="1" applyBorder="1" applyAlignment="1">
      <alignment horizontal="center" vertical="center"/>
    </xf>
    <xf numFmtId="165" fontId="6" fillId="2" borderId="2" xfId="0" applyNumberFormat="1" applyFont="1" applyFill="1" applyBorder="1" applyAlignment="1">
      <alignment vertical="center"/>
    </xf>
    <xf numFmtId="0" fontId="10" fillId="2" borderId="2" xfId="2" applyFont="1" applyFill="1" applyBorder="1" applyAlignment="1">
      <alignment horizontal="center" vertical="center"/>
    </xf>
    <xf numFmtId="0" fontId="11" fillId="2" borderId="2" xfId="2" applyFont="1" applyFill="1" applyBorder="1" applyAlignment="1">
      <alignment horizontal="right" vertical="center"/>
    </xf>
    <xf numFmtId="44" fontId="7" fillId="2" borderId="5" xfId="5" applyNumberFormat="1" applyFont="1" applyFill="1" applyBorder="1" applyAlignment="1">
      <alignment horizontal="right" vertical="center"/>
    </xf>
    <xf numFmtId="44" fontId="7" fillId="2" borderId="9" xfId="5" applyNumberFormat="1" applyFont="1" applyFill="1" applyBorder="1" applyAlignment="1">
      <alignment horizontal="right" vertical="center"/>
    </xf>
    <xf numFmtId="44" fontId="15" fillId="6" borderId="10" xfId="7" applyNumberFormat="1" applyFont="1" applyBorder="1" applyAlignment="1">
      <alignment horizontal="right" vertical="center"/>
    </xf>
    <xf numFmtId="49" fontId="17" fillId="0" borderId="0" xfId="0" applyNumberFormat="1" applyFont="1" applyBorder="1" applyAlignment="1">
      <alignment horizontal="left" vertical="center" wrapText="1"/>
    </xf>
    <xf numFmtId="49" fontId="17" fillId="0" borderId="11" xfId="0" applyNumberFormat="1" applyFont="1" applyBorder="1" applyAlignment="1">
      <alignment horizontal="left" vertical="center" wrapText="1"/>
    </xf>
    <xf numFmtId="0" fontId="14" fillId="3" borderId="1" xfId="1" applyFont="1" applyFill="1" applyBorder="1" applyAlignment="1">
      <alignment horizontal="center" vertical="center"/>
    </xf>
    <xf numFmtId="0" fontId="14" fillId="3" borderId="2" xfId="1" applyFont="1" applyFill="1" applyBorder="1" applyAlignment="1">
      <alignment horizontal="center" vertical="center"/>
    </xf>
    <xf numFmtId="164" fontId="14" fillId="3" borderId="2" xfId="1" applyNumberFormat="1" applyFont="1" applyFill="1" applyBorder="1" applyAlignment="1">
      <alignment horizontal="center" vertical="center"/>
    </xf>
    <xf numFmtId="44" fontId="14" fillId="3" borderId="5" xfId="1" applyNumberFormat="1" applyFont="1" applyFill="1" applyBorder="1" applyAlignment="1">
      <alignment horizontal="center" vertical="center"/>
    </xf>
    <xf numFmtId="49" fontId="13" fillId="5" borderId="12" xfId="2" applyNumberFormat="1" applyFont="1" applyBorder="1" applyAlignment="1" applyProtection="1">
      <alignment horizontal="center" vertical="center"/>
      <protection locked="0"/>
    </xf>
    <xf numFmtId="49" fontId="13" fillId="5" borderId="2" xfId="2" applyNumberFormat="1" applyFont="1" applyBorder="1" applyAlignment="1" applyProtection="1">
      <alignment horizontal="center" vertical="center"/>
      <protection locked="0"/>
    </xf>
    <xf numFmtId="0" fontId="13" fillId="5" borderId="2" xfId="2" applyFont="1" applyBorder="1" applyAlignment="1" applyProtection="1">
      <alignment horizontal="center" vertical="center"/>
      <protection locked="0"/>
    </xf>
    <xf numFmtId="165" fontId="13" fillId="5" borderId="2" xfId="2" applyNumberFormat="1" applyFont="1" applyBorder="1" applyAlignment="1" applyProtection="1">
      <alignment horizontal="center" vertical="center"/>
      <protection locked="0"/>
    </xf>
    <xf numFmtId="0" fontId="0" fillId="3" borderId="7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0" fillId="3" borderId="14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44" fontId="12" fillId="0" borderId="5" xfId="5" applyNumberFormat="1" applyFont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2" fontId="6" fillId="0" borderId="0" xfId="0" applyNumberFormat="1" applyFont="1" applyAlignment="1">
      <alignment horizontal="center" vertical="center"/>
    </xf>
    <xf numFmtId="44" fontId="6" fillId="0" borderId="0" xfId="3" applyFont="1" applyAlignment="1">
      <alignment horizontal="center" vertical="center"/>
    </xf>
    <xf numFmtId="44" fontId="6" fillId="0" borderId="0" xfId="3" applyNumberFormat="1" applyFont="1" applyAlignment="1">
      <alignment horizontal="center" vertical="center"/>
    </xf>
    <xf numFmtId="168" fontId="17" fillId="0" borderId="0" xfId="3" applyNumberFormat="1" applyFont="1" applyBorder="1" applyAlignment="1">
      <alignment horizontal="left" vertical="center" wrapText="1"/>
    </xf>
    <xf numFmtId="167" fontId="6" fillId="0" borderId="0" xfId="0" applyNumberFormat="1" applyFont="1" applyAlignment="1">
      <alignment horizontal="center" vertical="center"/>
    </xf>
    <xf numFmtId="169" fontId="6" fillId="2" borderId="5" xfId="3" applyNumberFormat="1" applyFont="1" applyFill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7" borderId="7" xfId="0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vertical="center"/>
    </xf>
    <xf numFmtId="44" fontId="20" fillId="0" borderId="5" xfId="5" applyFont="1" applyBorder="1" applyAlignment="1">
      <alignment horizontal="center" vertical="center"/>
    </xf>
    <xf numFmtId="0" fontId="0" fillId="3" borderId="17" xfId="0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3" borderId="18" xfId="0" applyFont="1" applyFill="1" applyBorder="1" applyAlignment="1">
      <alignment horizontal="center" vertical="center"/>
    </xf>
    <xf numFmtId="0" fontId="0" fillId="3" borderId="19" xfId="0" applyFill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15" xfId="0" applyBorder="1" applyAlignment="1">
      <alignment vertical="center"/>
    </xf>
    <xf numFmtId="44" fontId="20" fillId="0" borderId="24" xfId="5" applyFont="1" applyBorder="1" applyAlignment="1">
      <alignment horizontal="center" vertical="center"/>
    </xf>
    <xf numFmtId="44" fontId="20" fillId="0" borderId="24" xfId="3" applyNumberFormat="1" applyFont="1" applyBorder="1" applyAlignment="1">
      <alignment horizontal="center" vertical="center"/>
    </xf>
    <xf numFmtId="44" fontId="20" fillId="0" borderId="24" xfId="3" applyFont="1" applyBorder="1" applyAlignment="1">
      <alignment horizontal="center" vertical="center"/>
    </xf>
    <xf numFmtId="0" fontId="0" fillId="0" borderId="16" xfId="0" applyBorder="1" applyAlignment="1">
      <alignment vertical="center"/>
    </xf>
    <xf numFmtId="44" fontId="20" fillId="0" borderId="11" xfId="3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44" fontId="20" fillId="0" borderId="0" xfId="3" applyFont="1" applyBorder="1" applyAlignment="1">
      <alignment horizontal="center" vertical="center"/>
    </xf>
    <xf numFmtId="44" fontId="12" fillId="0" borderId="5" xfId="5" applyFont="1" applyFill="1" applyBorder="1" applyAlignment="1">
      <alignment horizontal="center" vertical="center"/>
    </xf>
    <xf numFmtId="0" fontId="0" fillId="3" borderId="25" xfId="0" applyFill="1" applyBorder="1" applyAlignment="1">
      <alignment horizontal="center" vertical="center"/>
    </xf>
    <xf numFmtId="9" fontId="20" fillId="0" borderId="0" xfId="6" applyFont="1" applyBorder="1" applyAlignment="1">
      <alignment horizontal="center" vertical="center"/>
    </xf>
    <xf numFmtId="9" fontId="20" fillId="0" borderId="26" xfId="6" applyFont="1" applyBorder="1" applyAlignment="1">
      <alignment horizontal="center" vertical="center"/>
    </xf>
    <xf numFmtId="0" fontId="0" fillId="0" borderId="27" xfId="0" applyBorder="1" applyAlignment="1">
      <alignment vertical="center"/>
    </xf>
    <xf numFmtId="44" fontId="20" fillId="0" borderId="28" xfId="5" applyFont="1" applyBorder="1" applyAlignment="1">
      <alignment horizontal="center" vertical="center"/>
    </xf>
    <xf numFmtId="164" fontId="20" fillId="0" borderId="11" xfId="5" applyNumberFormat="1" applyFont="1" applyBorder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2" xfId="0" applyBorder="1" applyAlignment="1">
      <alignment horizontal="center" vertical="center"/>
    </xf>
    <xf numFmtId="10" fontId="0" fillId="3" borderId="12" xfId="0" applyNumberForma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/>
    </xf>
    <xf numFmtId="0" fontId="1" fillId="3" borderId="29" xfId="0" applyFont="1" applyFill="1" applyBorder="1" applyAlignment="1">
      <alignment horizontal="center" vertical="center"/>
    </xf>
    <xf numFmtId="0" fontId="1" fillId="3" borderId="19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44" fontId="20" fillId="0" borderId="13" xfId="5" applyFont="1" applyBorder="1" applyAlignment="1">
      <alignment horizontal="center" vertical="center"/>
    </xf>
    <xf numFmtId="44" fontId="20" fillId="0" borderId="6" xfId="5" applyFont="1" applyBorder="1" applyAlignment="1">
      <alignment horizontal="center" vertical="center"/>
    </xf>
    <xf numFmtId="0" fontId="13" fillId="5" borderId="2" xfId="2" applyFont="1" applyBorder="1" applyAlignment="1" applyProtection="1">
      <alignment horizontal="center" vertical="center" wrapText="1"/>
      <protection locked="0"/>
    </xf>
    <xf numFmtId="44" fontId="13" fillId="5" borderId="5" xfId="2" applyNumberFormat="1" applyFont="1" applyBorder="1" applyAlignment="1" applyProtection="1">
      <alignment horizontal="center" vertical="center"/>
      <protection locked="0"/>
    </xf>
    <xf numFmtId="170" fontId="6" fillId="2" borderId="2" xfId="0" applyNumberFormat="1" applyFont="1" applyFill="1" applyBorder="1" applyAlignment="1">
      <alignment vertical="center"/>
    </xf>
    <xf numFmtId="0" fontId="6" fillId="0" borderId="0" xfId="0" applyFont="1" applyAlignment="1">
      <alignment horizontal="right" vertical="center"/>
    </xf>
    <xf numFmtId="9" fontId="6" fillId="0" borderId="0" xfId="6" applyFont="1" applyAlignment="1">
      <alignment horizontal="center" vertical="center"/>
    </xf>
    <xf numFmtId="44" fontId="12" fillId="0" borderId="2" xfId="3" applyFont="1" applyBorder="1" applyAlignment="1">
      <alignment vertical="center"/>
    </xf>
    <xf numFmtId="44" fontId="24" fillId="0" borderId="2" xfId="5" applyNumberFormat="1" applyFont="1" applyBorder="1" applyAlignment="1">
      <alignment vertical="center"/>
    </xf>
    <xf numFmtId="44" fontId="1" fillId="0" borderId="2" xfId="3" applyFont="1" applyBorder="1" applyAlignment="1">
      <alignment vertical="center"/>
    </xf>
    <xf numFmtId="0" fontId="0" fillId="3" borderId="12" xfId="0" applyFill="1" applyBorder="1" applyAlignment="1">
      <alignment horizontal="center" vertical="center"/>
    </xf>
    <xf numFmtId="14" fontId="27" fillId="7" borderId="12" xfId="0" applyNumberFormat="1" applyFont="1" applyFill="1" applyBorder="1" applyAlignment="1">
      <alignment horizontal="center" vertical="center"/>
    </xf>
    <xf numFmtId="14" fontId="27" fillId="7" borderId="13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44" fontId="24" fillId="0" borderId="5" xfId="5" applyNumberFormat="1" applyFont="1" applyBorder="1" applyAlignment="1">
      <alignment vertical="center"/>
    </xf>
    <xf numFmtId="0" fontId="4" fillId="0" borderId="3" xfId="0" applyFont="1" applyBorder="1" applyAlignment="1">
      <alignment vertical="center"/>
    </xf>
    <xf numFmtId="44" fontId="12" fillId="0" borderId="4" xfId="3" applyFont="1" applyBorder="1" applyAlignment="1">
      <alignment vertical="center"/>
    </xf>
    <xf numFmtId="44" fontId="24" fillId="0" borderId="4" xfId="5" applyNumberFormat="1" applyFont="1" applyBorder="1" applyAlignment="1">
      <alignment vertical="center"/>
    </xf>
    <xf numFmtId="44" fontId="24" fillId="0" borderId="6" xfId="5" applyNumberFormat="1" applyFont="1" applyBorder="1" applyAlignment="1">
      <alignment vertical="center"/>
    </xf>
    <xf numFmtId="44" fontId="0" fillId="0" borderId="0" xfId="0" applyNumberFormat="1" applyAlignment="1">
      <alignment vertical="center"/>
    </xf>
    <xf numFmtId="0" fontId="27" fillId="7" borderId="13" xfId="0" applyFont="1" applyFill="1" applyBorder="1" applyAlignment="1">
      <alignment horizontal="center" vertical="center"/>
    </xf>
    <xf numFmtId="49" fontId="28" fillId="0" borderId="1" xfId="0" applyNumberFormat="1" applyFont="1" applyFill="1" applyBorder="1" applyAlignment="1">
      <alignment horizontal="left" vertical="center"/>
    </xf>
    <xf numFmtId="10" fontId="4" fillId="0" borderId="2" xfId="6" applyNumberFormat="1" applyFont="1" applyBorder="1" applyAlignment="1">
      <alignment horizontal="center" vertical="center"/>
    </xf>
    <xf numFmtId="0" fontId="28" fillId="0" borderId="2" xfId="0" applyFont="1" applyBorder="1" applyAlignment="1">
      <alignment vertical="center"/>
    </xf>
    <xf numFmtId="0" fontId="28" fillId="0" borderId="5" xfId="0" applyFont="1" applyBorder="1" applyAlignment="1">
      <alignment horizontal="center" vertical="center"/>
    </xf>
    <xf numFmtId="49" fontId="28" fillId="0" borderId="3" xfId="0" applyNumberFormat="1" applyFont="1" applyFill="1" applyBorder="1" applyAlignment="1">
      <alignment horizontal="left" vertical="center"/>
    </xf>
    <xf numFmtId="10" fontId="4" fillId="0" borderId="4" xfId="6" applyNumberFormat="1" applyFont="1" applyBorder="1" applyAlignment="1">
      <alignment horizontal="center" vertical="center"/>
    </xf>
    <xf numFmtId="0" fontId="28" fillId="0" borderId="4" xfId="0" applyFont="1" applyBorder="1" applyAlignment="1">
      <alignment vertical="center"/>
    </xf>
    <xf numFmtId="0" fontId="28" fillId="0" borderId="6" xfId="0" applyFont="1" applyBorder="1" applyAlignment="1">
      <alignment horizontal="center" vertical="center"/>
    </xf>
    <xf numFmtId="0" fontId="27" fillId="7" borderId="7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44" fontId="24" fillId="0" borderId="5" xfId="5" applyFont="1" applyBorder="1" applyAlignment="1">
      <alignment vertical="center"/>
    </xf>
    <xf numFmtId="0" fontId="0" fillId="0" borderId="3" xfId="0" applyBorder="1" applyAlignment="1">
      <alignment vertical="center"/>
    </xf>
    <xf numFmtId="44" fontId="24" fillId="0" borderId="6" xfId="5" applyFont="1" applyBorder="1" applyAlignment="1">
      <alignment vertical="center"/>
    </xf>
    <xf numFmtId="0" fontId="6" fillId="2" borderId="1" xfId="0" applyFont="1" applyFill="1" applyBorder="1" applyAlignment="1">
      <alignment horizontal="left" vertical="center"/>
    </xf>
    <xf numFmtId="165" fontId="14" fillId="0" borderId="2" xfId="0" applyNumberFormat="1" applyFont="1" applyBorder="1" applyAlignment="1" applyProtection="1">
      <alignment vertical="center"/>
      <protection hidden="1"/>
    </xf>
    <xf numFmtId="165" fontId="14" fillId="0" borderId="5" xfId="0" applyNumberFormat="1" applyFont="1" applyBorder="1" applyAlignment="1">
      <alignment vertical="center"/>
    </xf>
    <xf numFmtId="165" fontId="14" fillId="0" borderId="2" xfId="0" applyNumberFormat="1" applyFont="1" applyBorder="1" applyAlignment="1">
      <alignment vertical="center"/>
    </xf>
    <xf numFmtId="0" fontId="8" fillId="2" borderId="1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165" fontId="24" fillId="0" borderId="5" xfId="5" applyNumberFormat="1" applyFont="1" applyBorder="1" applyAlignment="1">
      <alignment vertical="center"/>
    </xf>
    <xf numFmtId="0" fontId="14" fillId="0" borderId="2" xfId="5" applyNumberFormat="1" applyFont="1" applyBorder="1" applyAlignment="1">
      <alignment vertical="center"/>
    </xf>
    <xf numFmtId="166" fontId="22" fillId="8" borderId="2" xfId="2" applyNumberFormat="1" applyFont="1" applyFill="1" applyBorder="1" applyAlignment="1" applyProtection="1">
      <alignment horizontal="center" vertical="center"/>
    </xf>
    <xf numFmtId="0" fontId="7" fillId="2" borderId="25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24" xfId="0" applyFont="1" applyFill="1" applyBorder="1" applyAlignment="1">
      <alignment horizontal="center" vertical="center"/>
    </xf>
    <xf numFmtId="49" fontId="16" fillId="3" borderId="30" xfId="0" applyNumberFormat="1" applyFont="1" applyFill="1" applyBorder="1" applyAlignment="1">
      <alignment horizontal="center" vertical="center" wrapText="1"/>
    </xf>
    <xf numFmtId="0" fontId="0" fillId="0" borderId="31" xfId="0" applyBorder="1" applyAlignment="1">
      <alignment horizontal="center" vertical="center"/>
    </xf>
    <xf numFmtId="0" fontId="0" fillId="0" borderId="31" xfId="0" applyBorder="1" applyAlignment="1">
      <alignment vertical="center"/>
    </xf>
    <xf numFmtId="0" fontId="0" fillId="0" borderId="32" xfId="0" applyBorder="1" applyAlignment="1">
      <alignment vertical="center"/>
    </xf>
    <xf numFmtId="0" fontId="0" fillId="0" borderId="33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34" xfId="0" applyBorder="1" applyAlignment="1">
      <alignment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6" xfId="0" applyBorder="1" applyAlignment="1">
      <alignment vertical="center"/>
    </xf>
    <xf numFmtId="0" fontId="0" fillId="0" borderId="37" xfId="0" applyBorder="1" applyAlignment="1">
      <alignment vertical="center"/>
    </xf>
    <xf numFmtId="0" fontId="6" fillId="0" borderId="0" xfId="0" applyFont="1" applyAlignment="1">
      <alignment horizontal="right" vertical="center"/>
    </xf>
    <xf numFmtId="0" fontId="0" fillId="0" borderId="2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7" borderId="12" xfId="0" applyFill="1" applyBorder="1" applyAlignment="1">
      <alignment horizontal="center" vertical="center" wrapText="1"/>
    </xf>
    <xf numFmtId="0" fontId="0" fillId="7" borderId="13" xfId="0" applyFill="1" applyBorder="1" applyAlignment="1">
      <alignment horizontal="center" vertical="center" wrapText="1"/>
    </xf>
  </cellXfs>
  <cellStyles count="8">
    <cellStyle name="20 % - Accent1" xfId="1" builtinId="30"/>
    <cellStyle name="60 % - Accent1" xfId="2" builtinId="32"/>
    <cellStyle name="Euro" xfId="3"/>
    <cellStyle name="Milliers" xfId="4" builtinId="3"/>
    <cellStyle name="Monétaire" xfId="5" builtinId="4"/>
    <cellStyle name="Normal" xfId="0" builtinId="0"/>
    <cellStyle name="Pourcentage" xfId="6" builtinId="5"/>
    <cellStyle name="Sortie" xfId="7" builtinId="2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28575</xdr:colOff>
      <xdr:row>0</xdr:row>
      <xdr:rowOff>28575</xdr:rowOff>
    </xdr:from>
    <xdr:to>
      <xdr:col>3</xdr:col>
      <xdr:colOff>752475</xdr:colOff>
      <xdr:row>1</xdr:row>
      <xdr:rowOff>371475</xdr:rowOff>
    </xdr:to>
    <xdr:pic>
      <xdr:nvPicPr>
        <xdr:cNvPr id="2343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99604" y="28575"/>
          <a:ext cx="1710018" cy="8135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67235</xdr:colOff>
      <xdr:row>3</xdr:row>
      <xdr:rowOff>156883</xdr:rowOff>
    </xdr:from>
    <xdr:to>
      <xdr:col>9</xdr:col>
      <xdr:colOff>649941</xdr:colOff>
      <xdr:row>7</xdr:row>
      <xdr:rowOff>280147</xdr:rowOff>
    </xdr:to>
    <xdr:pic>
      <xdr:nvPicPr>
        <xdr:cNvPr id="3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25117" y="1288677"/>
          <a:ext cx="2935942" cy="12886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2">
    <tabColor theme="3" tint="-0.249977111117893"/>
  </sheetPr>
  <dimension ref="A1:J33"/>
  <sheetViews>
    <sheetView tabSelected="1" zoomScale="85" zoomScaleNormal="85" workbookViewId="0">
      <selection activeCell="B1" sqref="B1"/>
    </sheetView>
  </sheetViews>
  <sheetFormatPr baseColWidth="10" defaultRowHeight="21" customHeight="1" x14ac:dyDescent="0.25"/>
  <cols>
    <col min="1" max="1" width="33.140625" style="22" customWidth="1"/>
    <col min="2" max="2" width="53.42578125" style="22" customWidth="1"/>
    <col min="3" max="3" width="14.85546875" style="22" customWidth="1"/>
    <col min="4" max="4" width="11.42578125" style="24" customWidth="1"/>
    <col min="5" max="5" width="9.5703125" style="22" customWidth="1"/>
    <col min="6" max="6" width="11.140625" style="22" customWidth="1"/>
    <col min="7" max="7" width="11.42578125" style="22"/>
    <col min="8" max="8" width="12.7109375" style="22" customWidth="1"/>
    <col min="9" max="9" width="26.42578125" style="22" hidden="1" customWidth="1"/>
    <col min="10" max="10" width="11.5703125" style="22" customWidth="1"/>
    <col min="11" max="16384" width="11.42578125" style="22"/>
  </cols>
  <sheetData>
    <row r="1" spans="1:10" ht="36.75" customHeight="1" x14ac:dyDescent="0.25">
      <c r="A1" s="31" t="s">
        <v>78</v>
      </c>
      <c r="B1" s="46" t="s">
        <v>180</v>
      </c>
      <c r="C1" s="145"/>
      <c r="D1" s="146"/>
    </row>
    <row r="2" spans="1:10" ht="30.75" customHeight="1" x14ac:dyDescent="0.25">
      <c r="A2" s="32" t="s">
        <v>79</v>
      </c>
      <c r="B2" s="144">
        <f>VLOOKUP(B1,l_tauxPC,3,FALSE)</f>
        <v>4.6580750000000002</v>
      </c>
      <c r="C2" s="147"/>
      <c r="D2" s="148"/>
    </row>
    <row r="3" spans="1:10" ht="21" customHeight="1" thickBot="1" x14ac:dyDescent="0.3">
      <c r="A3" s="42" t="s">
        <v>84</v>
      </c>
      <c r="B3" s="43" t="s">
        <v>42</v>
      </c>
      <c r="C3" s="44" t="s">
        <v>6</v>
      </c>
      <c r="D3" s="45" t="s">
        <v>7</v>
      </c>
    </row>
    <row r="4" spans="1:10" ht="22.5" customHeight="1" thickTop="1" x14ac:dyDescent="0.25">
      <c r="A4" s="136" t="s">
        <v>87</v>
      </c>
      <c r="B4" s="47" t="s">
        <v>159</v>
      </c>
      <c r="C4" s="137">
        <f>TRUNC((VLOOKUP(B4,L_gradeindicetech,2,FALSE))*B2,2)</f>
        <v>4485.72</v>
      </c>
      <c r="D4" s="27"/>
      <c r="E4" s="24"/>
      <c r="F4" s="149" t="s">
        <v>197</v>
      </c>
      <c r="G4" s="150"/>
      <c r="H4" s="150"/>
      <c r="I4" s="151"/>
      <c r="J4" s="152"/>
    </row>
    <row r="5" spans="1:10" ht="22.5" customHeight="1" x14ac:dyDescent="0.25">
      <c r="A5" s="136" t="s">
        <v>88</v>
      </c>
      <c r="B5" s="26" t="s">
        <v>47</v>
      </c>
      <c r="C5" s="34"/>
      <c r="D5" s="138">
        <f>(VLOOKUP(B1,l_tauxPC,2,FALSE))*C4</f>
        <v>445.88056800000004</v>
      </c>
      <c r="F5" s="153"/>
      <c r="G5" s="154"/>
      <c r="H5" s="154"/>
      <c r="I5" s="155"/>
      <c r="J5" s="156"/>
    </row>
    <row r="6" spans="1:10" ht="22.5" customHeight="1" x14ac:dyDescent="0.25">
      <c r="A6" s="136" t="s">
        <v>105</v>
      </c>
      <c r="B6" s="36" t="s">
        <v>80</v>
      </c>
      <c r="C6" s="49">
        <v>0</v>
      </c>
      <c r="D6" s="27"/>
      <c r="F6" s="153"/>
      <c r="G6" s="154"/>
      <c r="H6" s="154"/>
      <c r="I6" s="155"/>
      <c r="J6" s="156"/>
    </row>
    <row r="7" spans="1:10" ht="22.5" customHeight="1" x14ac:dyDescent="0.25">
      <c r="A7" s="136" t="s">
        <v>89</v>
      </c>
      <c r="B7" s="26" t="s">
        <v>48</v>
      </c>
      <c r="C7" s="34"/>
      <c r="D7" s="138">
        <f>(VLOOKUP(B1,l_tauxPC,2,FALSE))*C9</f>
        <v>34.725949125000007</v>
      </c>
      <c r="F7" s="153"/>
      <c r="G7" s="154"/>
      <c r="H7" s="154"/>
      <c r="I7" s="155"/>
      <c r="J7" s="156"/>
    </row>
    <row r="8" spans="1:10" ht="22.5" customHeight="1" x14ac:dyDescent="0.25">
      <c r="A8" s="136" t="s">
        <v>90</v>
      </c>
      <c r="B8" s="48" t="s">
        <v>1</v>
      </c>
      <c r="C8" s="139">
        <f>IF((VLOOKUP(B8,l_montantresidence,2,FALSE)*(C4+C9))&lt;(VLOOKUP(B8,l_montantresidence,3,FALSE)),
VLOOKUP(B8,l_montantresidence,3,FALSE),(VLOOKUP(B8,l_montantresidence,2,FALSE))*(C4+C9))</f>
        <v>145.05226875</v>
      </c>
      <c r="D8" s="27"/>
      <c r="F8" s="153"/>
      <c r="G8" s="154"/>
      <c r="H8" s="154"/>
      <c r="I8" s="155"/>
      <c r="J8" s="156"/>
    </row>
    <row r="9" spans="1:10" ht="22.5" customHeight="1" x14ac:dyDescent="0.25">
      <c r="A9" s="136" t="s">
        <v>91</v>
      </c>
      <c r="B9" s="48" t="s">
        <v>65</v>
      </c>
      <c r="C9" s="139">
        <f>(VLOOKUP(B9,l_nbi,2,FALSE))*B2</f>
        <v>349.35562500000003</v>
      </c>
      <c r="D9" s="27"/>
      <c r="F9" s="153"/>
      <c r="G9" s="154"/>
      <c r="H9" s="154"/>
      <c r="I9" s="155"/>
      <c r="J9" s="156"/>
    </row>
    <row r="10" spans="1:10" ht="22.5" customHeight="1" x14ac:dyDescent="0.25">
      <c r="A10" s="136" t="s">
        <v>92</v>
      </c>
      <c r="B10" s="48" t="s">
        <v>66</v>
      </c>
      <c r="C10" s="139">
        <f>ROUNDDOWN(IF((VLOOKUP(B10,l_supplfamilial,2,FALSE))+(C4+C9)*VLOOKUP(B10,l_supplfamilial,3,FALSE)&lt;=(VLOOKUP(B10,l_supplfamilial,4,FALSE)),
VLOOKUP(B10,l_supplfamilial,4,FALSE),
IF((VLOOKUP(B10,l_supplfamilial,2,FALSE))+(C4+C9)*VLOOKUP(B10,l_supplfamilial,3,FALSE)&gt;(VLOOKUP(B10,l_supplfamilial,5,FALSE)),
VLOOKUP(B10,l_supplfamilial,5,FALSE),VLOOKUP(B10,l_supplfamilial,2,FALSE)+(C4+C9)*VLOOKUP(B10,l_supplfamilial,3,FALSE))),2)</f>
        <v>0</v>
      </c>
      <c r="D10" s="27"/>
      <c r="F10" s="153"/>
      <c r="G10" s="154"/>
      <c r="H10" s="154"/>
      <c r="I10" s="155"/>
      <c r="J10" s="156"/>
    </row>
    <row r="11" spans="1:10" ht="22.5" customHeight="1" x14ac:dyDescent="0.25">
      <c r="A11" s="136" t="s">
        <v>93</v>
      </c>
      <c r="B11" s="35" t="s">
        <v>81</v>
      </c>
      <c r="C11" s="139">
        <f>ROUND(VLOOKUP(B4,L_gradeindicetech,3,FALSE),2)</f>
        <v>532.77</v>
      </c>
      <c r="D11" s="27"/>
      <c r="F11" s="153"/>
      <c r="G11" s="154"/>
      <c r="H11" s="154"/>
      <c r="I11" s="155"/>
      <c r="J11" s="156"/>
    </row>
    <row r="12" spans="1:10" ht="22.5" customHeight="1" x14ac:dyDescent="0.25">
      <c r="A12" s="136" t="s">
        <v>94</v>
      </c>
      <c r="B12" s="48">
        <v>14</v>
      </c>
      <c r="C12" s="139">
        <f>(VLOOKUP(B12,l_evsmontant,2,FALSE))</f>
        <v>1788.15</v>
      </c>
      <c r="D12" s="27"/>
      <c r="F12" s="153"/>
      <c r="G12" s="154"/>
      <c r="H12" s="154"/>
      <c r="I12" s="155"/>
      <c r="J12" s="156"/>
    </row>
    <row r="13" spans="1:10" ht="22.5" customHeight="1" x14ac:dyDescent="0.25">
      <c r="A13" s="136" t="s">
        <v>95</v>
      </c>
      <c r="B13" s="104" t="s">
        <v>171</v>
      </c>
      <c r="C13" s="139">
        <f>(VLOOKUP(B13,l_montantPCS,2,FALSE))</f>
        <v>154.51</v>
      </c>
      <c r="D13" s="27"/>
      <c r="F13" s="153"/>
      <c r="G13" s="154"/>
      <c r="H13" s="154"/>
      <c r="I13" s="155"/>
      <c r="J13" s="156"/>
    </row>
    <row r="14" spans="1:10" ht="22.5" customHeight="1" x14ac:dyDescent="0.25">
      <c r="A14" s="136" t="s">
        <v>41</v>
      </c>
      <c r="B14" s="48" t="s">
        <v>57</v>
      </c>
      <c r="C14" s="139">
        <f>(VLOOKUP(B14,l_montantpeq,VLOOKUP(B1,l_tauxPC,4,FALSE),FALSE))</f>
        <v>1056.39734</v>
      </c>
      <c r="D14" s="27"/>
      <c r="F14" s="153"/>
      <c r="G14" s="154"/>
      <c r="H14" s="154"/>
      <c r="I14" s="155"/>
      <c r="J14" s="156"/>
    </row>
    <row r="15" spans="1:10" ht="22.5" customHeight="1" x14ac:dyDescent="0.25">
      <c r="A15" s="136" t="s">
        <v>136</v>
      </c>
      <c r="B15" s="48" t="s">
        <v>136</v>
      </c>
      <c r="C15" s="139">
        <f>(VLOOKUP(B15,l_montant_CDG,2,FALSE))</f>
        <v>120</v>
      </c>
      <c r="D15" s="27"/>
      <c r="F15" s="153"/>
      <c r="G15" s="154"/>
      <c r="H15" s="154"/>
      <c r="I15" s="155"/>
      <c r="J15" s="156"/>
    </row>
    <row r="16" spans="1:10" ht="22.5" customHeight="1" x14ac:dyDescent="0.25">
      <c r="A16" s="136" t="s">
        <v>193</v>
      </c>
      <c r="B16" s="48" t="s">
        <v>191</v>
      </c>
      <c r="C16" s="143">
        <f>(VLOOKUP(B16,Stade_protocole_2016,2,FALSE))</f>
        <v>60</v>
      </c>
      <c r="D16" s="27"/>
      <c r="F16" s="153"/>
      <c r="G16" s="154"/>
      <c r="H16" s="154"/>
      <c r="I16" s="155"/>
      <c r="J16" s="156"/>
    </row>
    <row r="17" spans="1:10" ht="22.5" customHeight="1" x14ac:dyDescent="0.25">
      <c r="A17" s="140" t="s">
        <v>82</v>
      </c>
      <c r="B17" s="36"/>
      <c r="C17" s="49"/>
      <c r="D17" s="27"/>
      <c r="F17" s="153"/>
      <c r="G17" s="154"/>
      <c r="H17" s="154"/>
      <c r="I17" s="155"/>
      <c r="J17" s="156"/>
    </row>
    <row r="18" spans="1:10" ht="22.5" customHeight="1" x14ac:dyDescent="0.25">
      <c r="A18" s="136" t="s">
        <v>96</v>
      </c>
      <c r="B18" s="26" t="s">
        <v>43</v>
      </c>
      <c r="C18" s="34"/>
      <c r="D18" s="27">
        <f>ROUND((C4+C8+C9+C10+C11+C12+C13+C14+C15+C16+C17)*0.024*0.9825,2)</f>
        <v>204.96</v>
      </c>
      <c r="F18" s="153"/>
      <c r="G18" s="154"/>
      <c r="H18" s="154"/>
      <c r="I18" s="155"/>
      <c r="J18" s="156"/>
    </row>
    <row r="19" spans="1:10" ht="22.5" customHeight="1" x14ac:dyDescent="0.25">
      <c r="A19" s="136" t="s">
        <v>97</v>
      </c>
      <c r="B19" s="26" t="s">
        <v>44</v>
      </c>
      <c r="C19" s="34"/>
      <c r="D19" s="27">
        <f>ROUND((C25-C6)*0.051*0.9825,2)</f>
        <v>435.53</v>
      </c>
      <c r="F19" s="153"/>
      <c r="G19" s="154"/>
      <c r="H19" s="154"/>
      <c r="I19" s="155"/>
      <c r="J19" s="156"/>
    </row>
    <row r="20" spans="1:10" ht="22.5" customHeight="1" x14ac:dyDescent="0.25">
      <c r="A20" s="136" t="s">
        <v>98</v>
      </c>
      <c r="B20" s="26" t="s">
        <v>45</v>
      </c>
      <c r="C20" s="34"/>
      <c r="D20" s="27">
        <f>ROUND((C25-C6)*0.005*0.9825,2)</f>
        <v>42.7</v>
      </c>
      <c r="F20" s="153"/>
      <c r="G20" s="154"/>
      <c r="H20" s="154"/>
      <c r="I20" s="155"/>
      <c r="J20" s="156"/>
    </row>
    <row r="21" spans="1:10" ht="22.5" customHeight="1" thickBot="1" x14ac:dyDescent="0.3">
      <c r="A21" s="136" t="s">
        <v>99</v>
      </c>
      <c r="B21" s="26" t="s">
        <v>46</v>
      </c>
      <c r="C21" s="34"/>
      <c r="D21" s="63">
        <f>IF((C8+C10+C11+C12+C13+C14+C15+C16+C17)&gt;C4*0.2,C4*0.2*0.05,(C8+C10+C11+C12+C13+C14+C15+C16+C17)*0.05)</f>
        <v>44.857200000000006</v>
      </c>
      <c r="F21" s="157"/>
      <c r="G21" s="158"/>
      <c r="H21" s="158"/>
      <c r="I21" s="159"/>
      <c r="J21" s="160"/>
    </row>
    <row r="22" spans="1:10" ht="22.5" customHeight="1" thickTop="1" x14ac:dyDescent="0.25">
      <c r="A22" s="136" t="s">
        <v>100</v>
      </c>
      <c r="B22" s="25"/>
      <c r="C22" s="34"/>
      <c r="D22" s="27">
        <f>ROUNDDOWN(((C25-C6)-D5-D7-D21)*0.01,2)</f>
        <v>81.66</v>
      </c>
      <c r="F22" s="66"/>
      <c r="G22" s="66"/>
      <c r="H22" s="66"/>
      <c r="I22" s="66"/>
      <c r="J22" s="66"/>
    </row>
    <row r="23" spans="1:10" ht="22.5" customHeight="1" x14ac:dyDescent="0.25">
      <c r="A23" s="140" t="s">
        <v>83</v>
      </c>
      <c r="B23" s="36" t="s">
        <v>80</v>
      </c>
      <c r="C23" s="34"/>
      <c r="D23" s="105"/>
      <c r="F23" s="66"/>
      <c r="G23" s="66"/>
      <c r="H23" s="66"/>
      <c r="I23" s="66"/>
      <c r="J23" s="66"/>
    </row>
    <row r="24" spans="1:10" ht="22.5" customHeight="1" x14ac:dyDescent="0.25">
      <c r="A24" s="136"/>
      <c r="B24" s="25"/>
      <c r="C24" s="34"/>
      <c r="D24" s="27"/>
      <c r="F24" s="66"/>
      <c r="G24" s="66"/>
      <c r="H24" s="66"/>
      <c r="I24" s="66"/>
      <c r="J24" s="66"/>
    </row>
    <row r="25" spans="1:10" ht="22.5" customHeight="1" x14ac:dyDescent="0.25">
      <c r="A25" s="136" t="s">
        <v>101</v>
      </c>
      <c r="B25" s="25"/>
      <c r="C25" s="106">
        <f>SUM(C4:C17)</f>
        <v>8691.955233749999</v>
      </c>
      <c r="D25" s="27">
        <f>SUM(D5:D24)</f>
        <v>1290.313717125</v>
      </c>
      <c r="F25" s="66"/>
      <c r="G25" s="66"/>
      <c r="H25" s="66"/>
      <c r="I25" s="66"/>
      <c r="J25" s="66"/>
    </row>
    <row r="26" spans="1:10" ht="22.5" customHeight="1" thickBot="1" x14ac:dyDescent="0.3">
      <c r="A26" s="136" t="s">
        <v>102</v>
      </c>
      <c r="B26" s="57" t="s">
        <v>106</v>
      </c>
      <c r="C26" s="34">
        <f>C8+C9+C11+C12+C13+C14+C15+C16+C17</f>
        <v>4206.2352337499997</v>
      </c>
      <c r="D26" s="27"/>
      <c r="F26" s="40"/>
      <c r="G26" s="61"/>
      <c r="H26" s="40"/>
      <c r="I26" s="41"/>
    </row>
    <row r="27" spans="1:10" ht="22.5" customHeight="1" x14ac:dyDescent="0.25">
      <c r="A27" s="136" t="s">
        <v>103</v>
      </c>
      <c r="B27" s="25"/>
      <c r="C27" s="28">
        <f>C26/(C25-C6)</f>
        <v>0.48392279074535566</v>
      </c>
      <c r="D27" s="37"/>
      <c r="G27" s="59"/>
      <c r="H27" s="59"/>
    </row>
    <row r="28" spans="1:10" ht="22.5" customHeight="1" thickBot="1" x14ac:dyDescent="0.3">
      <c r="A28" s="136"/>
      <c r="B28" s="25"/>
      <c r="C28" s="23"/>
      <c r="D28" s="38"/>
      <c r="G28" s="60"/>
    </row>
    <row r="29" spans="1:10" ht="22.5" customHeight="1" thickBot="1" x14ac:dyDescent="0.3">
      <c r="A29" s="141" t="s">
        <v>104</v>
      </c>
      <c r="B29" s="29"/>
      <c r="C29" s="33"/>
      <c r="D29" s="39">
        <f>C25-D25</f>
        <v>7401.641516624999</v>
      </c>
      <c r="F29" s="30"/>
      <c r="G29" s="62"/>
    </row>
    <row r="30" spans="1:10" ht="21" customHeight="1" x14ac:dyDescent="0.25">
      <c r="E30" s="24"/>
    </row>
    <row r="31" spans="1:10" ht="21" customHeight="1" x14ac:dyDescent="0.25">
      <c r="A31" s="161" t="s">
        <v>176</v>
      </c>
      <c r="B31" s="161"/>
      <c r="C31" s="161"/>
      <c r="D31" s="24">
        <f>C4*0.75*(1-0.066-0.005-0.003)</f>
        <v>3115.3325399999999</v>
      </c>
      <c r="E31" s="58"/>
      <c r="F31" s="24"/>
      <c r="G31" s="24"/>
    </row>
    <row r="32" spans="1:10" ht="21" customHeight="1" x14ac:dyDescent="0.25">
      <c r="C32" s="107" t="s">
        <v>175</v>
      </c>
      <c r="D32" s="108">
        <f>D31/D29</f>
        <v>0.42089751753075033</v>
      </c>
      <c r="E32" s="24"/>
    </row>
    <row r="33" spans="5:5" ht="21" customHeight="1" x14ac:dyDescent="0.25">
      <c r="E33" s="24"/>
    </row>
  </sheetData>
  <sheetProtection password="E99B" sheet="1" objects="1" scenarios="1" selectLockedCells="1"/>
  <mergeCells count="3">
    <mergeCell ref="C1:D2"/>
    <mergeCell ref="F4:J21"/>
    <mergeCell ref="A31:C31"/>
  </mergeCells>
  <phoneticPr fontId="0" type="noConversion"/>
  <dataValidations xWindow="537" yWindow="209" count="13">
    <dataValidation type="list" allowBlank="1" showInputMessage="1" showErrorMessage="1" errorTitle="ATTENTION" error="Il faut saisir une date ou une période dans la liste !" sqref="B1">
      <formula1>l_années</formula1>
    </dataValidation>
    <dataValidation type="list" allowBlank="1" showErrorMessage="1" errorTitle="ATTENTION" error="Il faut sélectionner un élément dans la liste déroulante !" promptTitle="Grade échelon" prompt="Veuillez sélectionner dans la liste votre grade et prénom" sqref="B4">
      <formula1>l_grade</formula1>
    </dataValidation>
    <dataValidation type="list" allowBlank="1" showInputMessage="1" showErrorMessage="1" errorTitle="Attention" error="Veulliez choisir un niveau d'EVS dans la liste !" sqref="B12">
      <formula1>l_niveauEVS</formula1>
    </dataValidation>
    <dataValidation type="list" allowBlank="1" showInputMessage="1" showErrorMessage="1" errorTitle="ATTENTION" error="Il faut sélectionner un élément dans la liste déroulante !" sqref="B14">
      <formula1>l_peq</formula1>
    </dataValidation>
    <dataValidation type="list" allowBlank="1" showInputMessage="1" showErrorMessage="1" errorTitle="ATTENTION" error="Il faut sélectionner un élément dans la liste déroulante !" sqref="B9">
      <formula1>l_ptnbi</formula1>
    </dataValidation>
    <dataValidation type="list" allowBlank="1" showInputMessage="1" showErrorMessage="1" errorTitle="ATTENTION" error="Il faut sélectionner un élément dans la liste déroulante !" sqref="B10">
      <formula1>l_nbenfantsacharge</formula1>
    </dataValidation>
    <dataValidation type="decimal" operator="greaterThan" allowBlank="1" showInputMessage="1" showErrorMessage="1" errorTitle="Attention" error="Veuillez saisir une valeur !" sqref="D23">
      <formula1>-1</formula1>
    </dataValidation>
    <dataValidation type="decimal" operator="greaterThan" allowBlank="1" showInputMessage="1" showErrorMessage="1" errorTitle="ATTENTION" error="Il faut saisir une valeur !" sqref="B2">
      <formula1>0</formula1>
    </dataValidation>
    <dataValidation type="decimal" operator="greaterThan" allowBlank="1" showInputMessage="1" showErrorMessage="1" errorTitle="ATTENTION" error="Veuillez saisir une valeur !" sqref="C16:C17 C6">
      <formula1>-1</formula1>
    </dataValidation>
    <dataValidation type="list" allowBlank="1" showInputMessage="1" showErrorMessage="1" errorTitle="ATTENTION" error="Il faut sélectionner un élément dans la liste déroulante !" sqref="B13">
      <formula1>l_PCS</formula1>
    </dataValidation>
    <dataValidation type="list" allowBlank="1" showInputMessage="1" showErrorMessage="1" errorTitle="ATTENTION" error="Il faut sélectionner un élément dans la liste déroulante !" sqref="B8">
      <formula1>l_residence</formula1>
    </dataValidation>
    <dataValidation allowBlank="1" showErrorMessage="1" sqref="A4 A10"/>
    <dataValidation type="list" allowBlank="1" showInputMessage="1" showErrorMessage="1" errorTitle="ATTENTION" error="Il faut sélectionner un élément dans la liste déroulante !" sqref="B15">
      <formula1>l_prime_CDG</formula1>
    </dataValidation>
  </dataValidations>
  <pageMargins left="0.7" right="0.7" top="0.75" bottom="0.75" header="0.3" footer="0.3"/>
  <pageSetup paperSize="9" scale="79" orientation="portrait" horizontalDpi="4294967294" verticalDpi="4294967294" r:id="rId1"/>
  <headerFooter>
    <oddHeader>&amp;C&amp;"Calibri,Gras"&amp;20&amp;UFiche de paie</oddHeader>
    <oddFooter>&amp;R&amp;F</oddFooter>
  </headerFooter>
  <colBreaks count="1" manualBreakCount="1">
    <brk id="4" max="1048575" man="1"/>
  </col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xWindow="537" yWindow="209" count="1">
        <x14:dataValidation type="list" allowBlank="1" showErrorMessage="1" errorTitle="Attention !" error="Il faut sélectionner un élément dans la liste déroulante !">
          <x14:formula1>
            <xm:f>'tableaux primes et indiciaires'!$B$93:$B$96</xm:f>
          </x14:formula1>
          <xm:sqref>B16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>
    <tabColor theme="3" tint="0.59999389629810485"/>
    <pageSetUpPr fitToPage="1"/>
  </sheetPr>
  <dimension ref="B1:N96"/>
  <sheetViews>
    <sheetView topLeftCell="B66" zoomScaleNormal="100" workbookViewId="0">
      <selection activeCell="F11" sqref="F11"/>
    </sheetView>
  </sheetViews>
  <sheetFormatPr baseColWidth="10" defaultRowHeight="15" x14ac:dyDescent="0.25"/>
  <cols>
    <col min="1" max="1" width="4.85546875" style="66" customWidth="1"/>
    <col min="2" max="2" width="44.42578125" style="66" customWidth="1"/>
    <col min="3" max="3" width="11.42578125" style="66"/>
    <col min="4" max="4" width="15.42578125" style="66" bestFit="1" customWidth="1"/>
    <col min="5" max="5" width="11.42578125" style="66"/>
    <col min="6" max="6" width="86.5703125" style="66" customWidth="1"/>
    <col min="7" max="7" width="12.42578125" style="66" bestFit="1" customWidth="1"/>
    <col min="8" max="8" width="12.7109375" style="66" bestFit="1" customWidth="1"/>
    <col min="9" max="16384" width="11.42578125" style="66"/>
  </cols>
  <sheetData>
    <row r="1" spans="2:8" x14ac:dyDescent="0.25">
      <c r="B1" s="66" t="s">
        <v>144</v>
      </c>
      <c r="C1" s="94">
        <v>42186</v>
      </c>
      <c r="D1" s="64" t="s">
        <v>145</v>
      </c>
      <c r="E1" s="94">
        <v>42916</v>
      </c>
    </row>
    <row r="2" spans="2:8" ht="15.75" thickBot="1" x14ac:dyDescent="0.3"/>
    <row r="3" spans="2:8" ht="15.75" thickBot="1" x14ac:dyDescent="0.3">
      <c r="B3" s="97" t="s">
        <v>138</v>
      </c>
      <c r="C3" s="98" t="s">
        <v>9</v>
      </c>
      <c r="D3" s="99" t="s">
        <v>134</v>
      </c>
      <c r="F3" s="67" t="s">
        <v>40</v>
      </c>
      <c r="G3" s="68" t="s">
        <v>132</v>
      </c>
      <c r="H3" s="69" t="s">
        <v>133</v>
      </c>
    </row>
    <row r="4" spans="2:8" x14ac:dyDescent="0.25">
      <c r="B4" s="100" t="s">
        <v>10</v>
      </c>
      <c r="C4" s="101">
        <v>321</v>
      </c>
      <c r="D4" s="102"/>
      <c r="F4" s="15" t="s">
        <v>61</v>
      </c>
      <c r="G4" s="16" t="s">
        <v>62</v>
      </c>
      <c r="H4" s="17">
        <v>0</v>
      </c>
    </row>
    <row r="5" spans="2:8" x14ac:dyDescent="0.25">
      <c r="B5" s="1" t="s">
        <v>39</v>
      </c>
      <c r="C5" s="95">
        <v>334</v>
      </c>
      <c r="D5" s="70">
        <v>258.44</v>
      </c>
      <c r="F5" s="15" t="s">
        <v>49</v>
      </c>
      <c r="G5" s="16">
        <v>1</v>
      </c>
      <c r="H5" s="17">
        <v>419.55</v>
      </c>
    </row>
    <row r="6" spans="2:8" ht="22.5" x14ac:dyDescent="0.25">
      <c r="B6" s="1" t="s">
        <v>11</v>
      </c>
      <c r="C6" s="95">
        <v>349</v>
      </c>
      <c r="D6" s="70">
        <v>361.46</v>
      </c>
      <c r="F6" s="18" t="s">
        <v>50</v>
      </c>
      <c r="G6" s="16">
        <v>2</v>
      </c>
      <c r="H6" s="17">
        <v>524.42999999999995</v>
      </c>
    </row>
    <row r="7" spans="2:8" x14ac:dyDescent="0.25">
      <c r="B7" s="1" t="s">
        <v>12</v>
      </c>
      <c r="C7" s="95">
        <v>369</v>
      </c>
      <c r="D7" s="70">
        <v>361.46</v>
      </c>
      <c r="F7" s="15" t="s">
        <v>51</v>
      </c>
      <c r="G7" s="16">
        <v>6</v>
      </c>
      <c r="H7" s="17">
        <v>1101.3399999999999</v>
      </c>
    </row>
    <row r="8" spans="2:8" x14ac:dyDescent="0.25">
      <c r="B8" s="1" t="s">
        <v>13</v>
      </c>
      <c r="C8" s="95">
        <v>397</v>
      </c>
      <c r="D8" s="70">
        <v>361.46</v>
      </c>
      <c r="F8" s="15" t="s">
        <v>199</v>
      </c>
      <c r="G8" s="16">
        <v>8</v>
      </c>
      <c r="H8" s="17">
        <v>1258.67</v>
      </c>
    </row>
    <row r="9" spans="2:8" x14ac:dyDescent="0.25">
      <c r="B9" s="1" t="s">
        <v>14</v>
      </c>
      <c r="C9" s="95">
        <v>413</v>
      </c>
      <c r="D9" s="70">
        <v>361.46</v>
      </c>
      <c r="F9" s="15" t="s">
        <v>52</v>
      </c>
      <c r="G9" s="16">
        <v>9</v>
      </c>
      <c r="H9" s="17">
        <v>1363.55</v>
      </c>
    </row>
    <row r="10" spans="2:8" x14ac:dyDescent="0.25">
      <c r="B10" s="1" t="s">
        <v>15</v>
      </c>
      <c r="C10" s="95">
        <v>440</v>
      </c>
      <c r="D10" s="70">
        <v>361.46</v>
      </c>
      <c r="F10" s="15" t="s">
        <v>53</v>
      </c>
      <c r="G10" s="16">
        <v>10</v>
      </c>
      <c r="H10" s="17">
        <v>1445.14</v>
      </c>
    </row>
    <row r="11" spans="2:8" ht="33.75" x14ac:dyDescent="0.25">
      <c r="B11" s="1" t="s">
        <v>16</v>
      </c>
      <c r="C11" s="95">
        <v>465</v>
      </c>
      <c r="D11" s="70">
        <v>361.46</v>
      </c>
      <c r="F11" s="18" t="s">
        <v>195</v>
      </c>
      <c r="G11" s="16">
        <v>11</v>
      </c>
      <c r="H11" s="17">
        <v>1515.07</v>
      </c>
    </row>
    <row r="12" spans="2:8" ht="33.75" x14ac:dyDescent="0.25">
      <c r="B12" s="1" t="s">
        <v>17</v>
      </c>
      <c r="C12" s="95">
        <v>502</v>
      </c>
      <c r="D12" s="70">
        <v>361.46</v>
      </c>
      <c r="F12" s="18" t="s">
        <v>198</v>
      </c>
      <c r="G12" s="16">
        <v>12</v>
      </c>
      <c r="H12" s="17">
        <v>1619.96</v>
      </c>
    </row>
    <row r="13" spans="2:8" ht="45" x14ac:dyDescent="0.25">
      <c r="B13" s="1" t="s">
        <v>18</v>
      </c>
      <c r="C13" s="95">
        <v>514</v>
      </c>
      <c r="D13" s="70">
        <v>361.46</v>
      </c>
      <c r="F13" s="18" t="s">
        <v>196</v>
      </c>
      <c r="G13" s="16">
        <v>13</v>
      </c>
      <c r="H13" s="17">
        <v>1689.89</v>
      </c>
    </row>
    <row r="14" spans="2:8" ht="22.5" x14ac:dyDescent="0.25">
      <c r="B14" s="1" t="s">
        <v>19</v>
      </c>
      <c r="C14" s="95">
        <v>540</v>
      </c>
      <c r="D14" s="70">
        <v>361.46</v>
      </c>
      <c r="F14" s="18" t="s">
        <v>54</v>
      </c>
      <c r="G14" s="16">
        <v>14</v>
      </c>
      <c r="H14" s="17">
        <v>1788.15</v>
      </c>
    </row>
    <row r="15" spans="2:8" ht="34.5" thickBot="1" x14ac:dyDescent="0.3">
      <c r="B15" s="1" t="s">
        <v>20</v>
      </c>
      <c r="C15" s="95">
        <v>553</v>
      </c>
      <c r="D15" s="70">
        <v>361.46</v>
      </c>
      <c r="F15" s="19" t="s">
        <v>150</v>
      </c>
      <c r="G15" s="20">
        <v>15</v>
      </c>
      <c r="H15" s="21">
        <v>1843.28</v>
      </c>
    </row>
    <row r="16" spans="2:8" x14ac:dyDescent="0.25">
      <c r="B16" s="1" t="s">
        <v>21</v>
      </c>
      <c r="C16" s="95">
        <v>387</v>
      </c>
      <c r="D16" s="70">
        <v>432.85</v>
      </c>
    </row>
    <row r="17" spans="2:14" ht="15.75" thickBot="1" x14ac:dyDescent="0.3">
      <c r="B17" s="1" t="s">
        <v>22</v>
      </c>
      <c r="C17" s="95">
        <v>409</v>
      </c>
      <c r="D17" s="70">
        <v>432.85</v>
      </c>
    </row>
    <row r="18" spans="2:14" x14ac:dyDescent="0.25">
      <c r="B18" s="1" t="s">
        <v>23</v>
      </c>
      <c r="C18" s="95">
        <v>439</v>
      </c>
      <c r="D18" s="70">
        <v>432.85</v>
      </c>
      <c r="F18" s="67" t="s">
        <v>41</v>
      </c>
      <c r="G18" s="112" t="s">
        <v>177</v>
      </c>
      <c r="H18" s="113">
        <v>42917</v>
      </c>
      <c r="I18" s="113">
        <v>43282</v>
      </c>
      <c r="J18" s="114">
        <v>43466</v>
      </c>
    </row>
    <row r="19" spans="2:14" x14ac:dyDescent="0.25">
      <c r="B19" s="1" t="s">
        <v>24</v>
      </c>
      <c r="C19" s="95">
        <v>464</v>
      </c>
      <c r="D19" s="70">
        <v>432.85</v>
      </c>
      <c r="F19" s="115" t="s">
        <v>60</v>
      </c>
      <c r="G19" s="109">
        <v>0</v>
      </c>
      <c r="H19" s="110">
        <v>102</v>
      </c>
      <c r="I19" s="110">
        <v>136</v>
      </c>
      <c r="J19" s="116">
        <v>170</v>
      </c>
      <c r="L19" s="121"/>
      <c r="M19" s="121"/>
      <c r="N19" s="121"/>
    </row>
    <row r="20" spans="2:14" x14ac:dyDescent="0.25">
      <c r="B20" s="1" t="s">
        <v>25</v>
      </c>
      <c r="C20" s="95">
        <v>499</v>
      </c>
      <c r="D20" s="70">
        <v>432.85</v>
      </c>
      <c r="F20" s="115" t="s">
        <v>55</v>
      </c>
      <c r="G20" s="111">
        <f>0.3875*H10</f>
        <v>559.99175000000002</v>
      </c>
      <c r="H20" s="110">
        <v>637.99</v>
      </c>
      <c r="I20" s="110">
        <v>663.99</v>
      </c>
      <c r="J20" s="116">
        <v>689.99</v>
      </c>
      <c r="L20" s="121"/>
      <c r="M20" s="121"/>
      <c r="N20" s="121"/>
    </row>
    <row r="21" spans="2:14" x14ac:dyDescent="0.25">
      <c r="B21" s="1" t="s">
        <v>26</v>
      </c>
      <c r="C21" s="95">
        <v>513</v>
      </c>
      <c r="D21" s="70">
        <v>432.85</v>
      </c>
      <c r="F21" s="115" t="s">
        <v>56</v>
      </c>
      <c r="G21" s="109">
        <f>0.425*H10</f>
        <v>614.18450000000007</v>
      </c>
      <c r="H21" s="110">
        <v>692.18</v>
      </c>
      <c r="I21" s="110">
        <v>718.18</v>
      </c>
      <c r="J21" s="116">
        <v>744.18</v>
      </c>
      <c r="L21" s="121"/>
      <c r="M21" s="121"/>
      <c r="N21" s="121"/>
    </row>
    <row r="22" spans="2:14" x14ac:dyDescent="0.25">
      <c r="B22" s="1" t="s">
        <v>27</v>
      </c>
      <c r="C22" s="95">
        <v>537</v>
      </c>
      <c r="D22" s="70">
        <v>432.85</v>
      </c>
      <c r="F22" s="115" t="s">
        <v>58</v>
      </c>
      <c r="G22" s="109">
        <f>0.6665*H10</f>
        <v>963.18581000000006</v>
      </c>
      <c r="H22" s="110">
        <v>1005.19</v>
      </c>
      <c r="I22" s="110">
        <v>1019.19</v>
      </c>
      <c r="J22" s="116">
        <v>1033.19</v>
      </c>
      <c r="L22" s="121"/>
      <c r="M22" s="121"/>
      <c r="N22" s="121"/>
    </row>
    <row r="23" spans="2:14" ht="15.75" thickBot="1" x14ac:dyDescent="0.3">
      <c r="B23" s="1" t="s">
        <v>28</v>
      </c>
      <c r="C23" s="95">
        <v>552</v>
      </c>
      <c r="D23" s="70">
        <v>432.85</v>
      </c>
      <c r="F23" s="117" t="s">
        <v>57</v>
      </c>
      <c r="G23" s="118">
        <f>0.731*H10</f>
        <v>1056.39734</v>
      </c>
      <c r="H23" s="119">
        <v>1098.4000000000001</v>
      </c>
      <c r="I23" s="119">
        <v>1112.4000000000001</v>
      </c>
      <c r="J23" s="120">
        <v>1126.4000000000001</v>
      </c>
      <c r="L23" s="121"/>
      <c r="M23" s="121"/>
      <c r="N23" s="121"/>
    </row>
    <row r="24" spans="2:14" x14ac:dyDescent="0.25">
      <c r="B24" s="1" t="s">
        <v>29</v>
      </c>
      <c r="C24" s="95">
        <v>590</v>
      </c>
      <c r="D24" s="70">
        <v>432.85</v>
      </c>
    </row>
    <row r="25" spans="2:14" ht="15.75" thickBot="1" x14ac:dyDescent="0.3">
      <c r="B25" s="1" t="s">
        <v>30</v>
      </c>
      <c r="C25" s="95">
        <v>500</v>
      </c>
      <c r="D25" s="70">
        <v>532.77</v>
      </c>
      <c r="F25" s="72"/>
    </row>
    <row r="26" spans="2:14" x14ac:dyDescent="0.25">
      <c r="B26" s="1" t="s">
        <v>31</v>
      </c>
      <c r="C26" s="95">
        <v>528</v>
      </c>
      <c r="D26" s="70">
        <v>532.77</v>
      </c>
      <c r="F26" s="73" t="s">
        <v>63</v>
      </c>
      <c r="G26" s="74" t="s">
        <v>8</v>
      </c>
    </row>
    <row r="27" spans="2:14" x14ac:dyDescent="0.25">
      <c r="B27" s="1" t="s">
        <v>32</v>
      </c>
      <c r="C27" s="95">
        <v>551</v>
      </c>
      <c r="D27" s="70">
        <v>532.77</v>
      </c>
      <c r="F27" s="75" t="s">
        <v>64</v>
      </c>
      <c r="G27" s="76">
        <v>0</v>
      </c>
    </row>
    <row r="28" spans="2:14" ht="15.75" thickBot="1" x14ac:dyDescent="0.3">
      <c r="B28" s="1" t="s">
        <v>113</v>
      </c>
      <c r="C28" s="95">
        <v>589</v>
      </c>
      <c r="D28" s="70">
        <v>532.77</v>
      </c>
      <c r="F28" s="77" t="s">
        <v>65</v>
      </c>
      <c r="G28" s="78">
        <v>75</v>
      </c>
    </row>
    <row r="29" spans="2:14" x14ac:dyDescent="0.25">
      <c r="B29" s="1" t="s">
        <v>117</v>
      </c>
      <c r="C29" s="95">
        <v>623</v>
      </c>
      <c r="D29" s="70">
        <v>532.77</v>
      </c>
    </row>
    <row r="30" spans="2:14" ht="15.75" thickBot="1" x14ac:dyDescent="0.3">
      <c r="B30" s="1" t="s">
        <v>33</v>
      </c>
      <c r="C30" s="95">
        <v>648</v>
      </c>
      <c r="D30" s="70">
        <v>532.77</v>
      </c>
    </row>
    <row r="31" spans="2:14" x14ac:dyDescent="0.25">
      <c r="B31" s="1" t="s">
        <v>114</v>
      </c>
      <c r="C31" s="95">
        <v>670</v>
      </c>
      <c r="D31" s="70">
        <v>532.77</v>
      </c>
      <c r="F31" s="53" t="s">
        <v>85</v>
      </c>
      <c r="G31" s="71" t="s">
        <v>59</v>
      </c>
    </row>
    <row r="32" spans="2:14" x14ac:dyDescent="0.25">
      <c r="B32" s="1" t="s">
        <v>34</v>
      </c>
      <c r="C32" s="95">
        <v>699</v>
      </c>
      <c r="D32" s="70">
        <v>532.77</v>
      </c>
      <c r="F32" s="79" t="s">
        <v>86</v>
      </c>
      <c r="G32" s="80">
        <v>0</v>
      </c>
    </row>
    <row r="33" spans="2:7" x14ac:dyDescent="0.25">
      <c r="B33" s="1" t="s">
        <v>115</v>
      </c>
      <c r="C33" s="95">
        <v>746</v>
      </c>
      <c r="D33" s="70">
        <v>532.77</v>
      </c>
      <c r="F33" s="79" t="s">
        <v>170</v>
      </c>
      <c r="G33" s="80">
        <v>103.01</v>
      </c>
    </row>
    <row r="34" spans="2:7" x14ac:dyDescent="0.25">
      <c r="B34" s="1" t="s">
        <v>35</v>
      </c>
      <c r="C34" s="95">
        <v>780</v>
      </c>
      <c r="D34" s="70">
        <v>532.77</v>
      </c>
      <c r="F34" s="79" t="s">
        <v>171</v>
      </c>
      <c r="G34" s="81">
        <f>TRUNC(G33*1.5,2)</f>
        <v>154.51</v>
      </c>
    </row>
    <row r="35" spans="2:7" x14ac:dyDescent="0.25">
      <c r="B35" s="1" t="s">
        <v>116</v>
      </c>
      <c r="C35" s="95">
        <v>821</v>
      </c>
      <c r="D35" s="70">
        <v>532.77</v>
      </c>
      <c r="F35" s="79" t="s">
        <v>172</v>
      </c>
      <c r="G35" s="82">
        <f>G33*0.6</f>
        <v>61.805999999999997</v>
      </c>
    </row>
    <row r="36" spans="2:7" ht="15.75" thickBot="1" x14ac:dyDescent="0.3">
      <c r="B36" s="1" t="s">
        <v>152</v>
      </c>
      <c r="C36" s="95">
        <v>670</v>
      </c>
      <c r="D36" s="70">
        <v>532.77</v>
      </c>
      <c r="F36" s="83" t="s">
        <v>173</v>
      </c>
      <c r="G36" s="84">
        <f>G34*0.6</f>
        <v>92.705999999999989</v>
      </c>
    </row>
    <row r="37" spans="2:7" x14ac:dyDescent="0.25">
      <c r="B37" s="1" t="s">
        <v>153</v>
      </c>
      <c r="C37" s="95">
        <v>706</v>
      </c>
      <c r="D37" s="70">
        <v>532.77</v>
      </c>
      <c r="F37" s="85"/>
      <c r="G37" s="86"/>
    </row>
    <row r="38" spans="2:7" x14ac:dyDescent="0.25">
      <c r="B38" s="1" t="s">
        <v>154</v>
      </c>
      <c r="C38" s="95">
        <v>746</v>
      </c>
      <c r="D38" s="70">
        <v>532.77</v>
      </c>
      <c r="F38" s="85"/>
      <c r="G38" s="86"/>
    </row>
    <row r="39" spans="2:7" x14ac:dyDescent="0.25">
      <c r="B39" s="1" t="s">
        <v>155</v>
      </c>
      <c r="C39" s="95">
        <v>783</v>
      </c>
      <c r="D39" s="70">
        <v>532.77</v>
      </c>
      <c r="F39" s="85"/>
      <c r="G39" s="86"/>
    </row>
    <row r="40" spans="2:7" x14ac:dyDescent="0.25">
      <c r="B40" s="1" t="s">
        <v>156</v>
      </c>
      <c r="C40" s="95">
        <v>821</v>
      </c>
      <c r="D40" s="70">
        <v>532.77</v>
      </c>
      <c r="F40" s="85"/>
      <c r="G40" s="86"/>
    </row>
    <row r="41" spans="2:7" x14ac:dyDescent="0.25">
      <c r="B41" s="1" t="s">
        <v>157</v>
      </c>
      <c r="C41" s="95">
        <v>881</v>
      </c>
      <c r="D41" s="70">
        <v>532.77</v>
      </c>
      <c r="F41" s="85"/>
      <c r="G41" s="86"/>
    </row>
    <row r="42" spans="2:7" x14ac:dyDescent="0.25">
      <c r="B42" s="1" t="s">
        <v>158</v>
      </c>
      <c r="C42" s="95">
        <v>916</v>
      </c>
      <c r="D42" s="70">
        <v>532.77</v>
      </c>
      <c r="F42" s="85"/>
      <c r="G42" s="86"/>
    </row>
    <row r="43" spans="2:7" x14ac:dyDescent="0.25">
      <c r="B43" s="1" t="s">
        <v>159</v>
      </c>
      <c r="C43" s="95">
        <v>963</v>
      </c>
      <c r="D43" s="70">
        <v>532.77</v>
      </c>
      <c r="F43" s="85"/>
      <c r="G43" s="86"/>
    </row>
    <row r="44" spans="2:7" x14ac:dyDescent="0.25">
      <c r="B44" s="1" t="s">
        <v>121</v>
      </c>
      <c r="C44" s="95">
        <v>589</v>
      </c>
      <c r="D44" s="70">
        <v>532.77</v>
      </c>
      <c r="F44" s="85"/>
      <c r="G44" s="86"/>
    </row>
    <row r="45" spans="2:7" x14ac:dyDescent="0.25">
      <c r="B45" s="1" t="s">
        <v>122</v>
      </c>
      <c r="C45" s="95">
        <v>623</v>
      </c>
      <c r="D45" s="70">
        <v>532.77</v>
      </c>
      <c r="F45" s="85"/>
      <c r="G45" s="86"/>
    </row>
    <row r="46" spans="2:7" ht="15.75" thickBot="1" x14ac:dyDescent="0.3">
      <c r="B46" s="1" t="s">
        <v>123</v>
      </c>
      <c r="C46" s="95">
        <v>670</v>
      </c>
      <c r="D46" s="70">
        <v>532.77</v>
      </c>
      <c r="F46" s="85"/>
      <c r="G46" s="86"/>
    </row>
    <row r="47" spans="2:7" x14ac:dyDescent="0.25">
      <c r="B47" s="1" t="s">
        <v>124</v>
      </c>
      <c r="C47" s="95">
        <v>706</v>
      </c>
      <c r="D47" s="70">
        <v>532.77</v>
      </c>
      <c r="F47" s="53" t="s">
        <v>136</v>
      </c>
      <c r="G47" s="71" t="s">
        <v>59</v>
      </c>
    </row>
    <row r="48" spans="2:7" x14ac:dyDescent="0.25">
      <c r="B48" s="1" t="s">
        <v>125</v>
      </c>
      <c r="C48" s="95">
        <v>746</v>
      </c>
      <c r="D48" s="70">
        <v>532.77</v>
      </c>
      <c r="F48" s="91" t="s">
        <v>137</v>
      </c>
      <c r="G48" s="92"/>
    </row>
    <row r="49" spans="2:7" ht="15.75" thickBot="1" x14ac:dyDescent="0.3">
      <c r="B49" s="1" t="s">
        <v>126</v>
      </c>
      <c r="C49" s="95">
        <v>783</v>
      </c>
      <c r="D49" s="70">
        <v>532.77</v>
      </c>
      <c r="F49" s="83" t="s">
        <v>136</v>
      </c>
      <c r="G49" s="93">
        <v>120</v>
      </c>
    </row>
    <row r="50" spans="2:7" x14ac:dyDescent="0.25">
      <c r="B50" s="1" t="s">
        <v>127</v>
      </c>
      <c r="C50" s="95">
        <v>821</v>
      </c>
      <c r="D50" s="70">
        <v>532.77</v>
      </c>
      <c r="F50" s="85"/>
      <c r="G50" s="86"/>
    </row>
    <row r="51" spans="2:7" x14ac:dyDescent="0.25">
      <c r="B51" s="1" t="s">
        <v>118</v>
      </c>
      <c r="C51" s="95">
        <v>670</v>
      </c>
      <c r="D51" s="70">
        <v>532.77</v>
      </c>
      <c r="F51" s="85"/>
      <c r="G51" s="86"/>
    </row>
    <row r="52" spans="2:7" x14ac:dyDescent="0.25">
      <c r="B52" s="1" t="s">
        <v>111</v>
      </c>
      <c r="C52" s="95">
        <v>706</v>
      </c>
      <c r="D52" s="70">
        <v>532.77</v>
      </c>
      <c r="F52" s="85"/>
      <c r="G52" s="86"/>
    </row>
    <row r="53" spans="2:7" x14ac:dyDescent="0.25">
      <c r="B53" s="1" t="s">
        <v>119</v>
      </c>
      <c r="C53" s="95">
        <v>746</v>
      </c>
      <c r="D53" s="70">
        <v>532.77</v>
      </c>
      <c r="F53" s="85"/>
      <c r="G53" s="86"/>
    </row>
    <row r="54" spans="2:7" x14ac:dyDescent="0.25">
      <c r="B54" s="1" t="s">
        <v>112</v>
      </c>
      <c r="C54" s="95">
        <v>783</v>
      </c>
      <c r="D54" s="70">
        <v>532.77</v>
      </c>
      <c r="F54" s="85"/>
      <c r="G54" s="86"/>
    </row>
    <row r="55" spans="2:7" x14ac:dyDescent="0.25">
      <c r="B55" s="1" t="s">
        <v>120</v>
      </c>
      <c r="C55" s="95">
        <v>821</v>
      </c>
      <c r="D55" s="70">
        <v>532.77</v>
      </c>
      <c r="F55" s="85"/>
      <c r="G55" s="86"/>
    </row>
    <row r="56" spans="2:7" x14ac:dyDescent="0.25">
      <c r="B56" s="1" t="s">
        <v>36</v>
      </c>
      <c r="C56" s="95">
        <v>881</v>
      </c>
      <c r="D56" s="70">
        <v>532.77</v>
      </c>
    </row>
    <row r="57" spans="2:7" x14ac:dyDescent="0.25">
      <c r="B57" s="1" t="s">
        <v>37</v>
      </c>
      <c r="C57" s="95">
        <v>916</v>
      </c>
      <c r="D57" s="70">
        <v>532.77</v>
      </c>
    </row>
    <row r="58" spans="2:7" ht="15.75" thickBot="1" x14ac:dyDescent="0.3">
      <c r="B58" s="7" t="s">
        <v>38</v>
      </c>
      <c r="C58" s="8">
        <v>963</v>
      </c>
      <c r="D58" s="103">
        <v>532.77</v>
      </c>
    </row>
    <row r="59" spans="2:7" ht="15.75" thickBot="1" x14ac:dyDescent="0.3"/>
    <row r="60" spans="2:7" ht="60" x14ac:dyDescent="0.25">
      <c r="B60" s="50" t="s">
        <v>128</v>
      </c>
      <c r="C60" s="51" t="s">
        <v>77</v>
      </c>
      <c r="D60" s="51" t="s">
        <v>129</v>
      </c>
      <c r="E60" s="51" t="s">
        <v>130</v>
      </c>
      <c r="F60" s="52" t="s">
        <v>131</v>
      </c>
    </row>
    <row r="61" spans="2:7" x14ac:dyDescent="0.25">
      <c r="B61" s="1" t="s">
        <v>66</v>
      </c>
      <c r="C61" s="2">
        <v>0</v>
      </c>
      <c r="D61" s="10"/>
      <c r="E61" s="3">
        <v>0</v>
      </c>
      <c r="F61" s="87">
        <v>2.29</v>
      </c>
    </row>
    <row r="62" spans="2:7" x14ac:dyDescent="0.25">
      <c r="B62" s="1" t="s">
        <v>67</v>
      </c>
      <c r="C62" s="4">
        <v>2.29</v>
      </c>
      <c r="D62" s="11"/>
      <c r="E62" s="5">
        <v>2.29</v>
      </c>
      <c r="F62" s="87">
        <v>2.29</v>
      </c>
    </row>
    <row r="63" spans="2:7" x14ac:dyDescent="0.25">
      <c r="B63" s="1" t="s">
        <v>68</v>
      </c>
      <c r="C63" s="6">
        <v>10.67</v>
      </c>
      <c r="D63" s="11">
        <v>0.03</v>
      </c>
      <c r="E63" s="5">
        <f>C63+D63*(449*'fiche de paye'!$B$2)</f>
        <v>73.414270250000001</v>
      </c>
      <c r="F63" s="56">
        <f>ROUNDDOWN(C63+D63*(717*'fiche de paye'!$B$2),2)</f>
        <v>110.86</v>
      </c>
    </row>
    <row r="64" spans="2:7" x14ac:dyDescent="0.25">
      <c r="B64" s="1" t="s">
        <v>69</v>
      </c>
      <c r="C64" s="6">
        <v>15.24</v>
      </c>
      <c r="D64" s="11">
        <v>0.08</v>
      </c>
      <c r="E64" s="5">
        <f>C64+D64*(449*'fiche de paye'!$B$2)</f>
        <v>182.55805400000003</v>
      </c>
      <c r="F64" s="13">
        <f>C64+D64*(717*'fiche de paye'!$B$2)</f>
        <v>282.42718200000002</v>
      </c>
    </row>
    <row r="65" spans="2:6" x14ac:dyDescent="0.25">
      <c r="B65" s="1" t="s">
        <v>70</v>
      </c>
      <c r="C65" s="6">
        <f>C64+4.57</f>
        <v>19.810000000000002</v>
      </c>
      <c r="D65" s="11">
        <f>0.08+0.06*1</f>
        <v>0.14000000000000001</v>
      </c>
      <c r="E65" s="5">
        <f>C65+D65*(449*'fiche de paye'!$B$2)</f>
        <v>312.61659450000008</v>
      </c>
      <c r="F65" s="13">
        <f>C65+D65*(717*'fiche de paye'!$B$2)</f>
        <v>487.38756850000004</v>
      </c>
    </row>
    <row r="66" spans="2:6" x14ac:dyDescent="0.25">
      <c r="B66" s="1" t="s">
        <v>71</v>
      </c>
      <c r="C66" s="6">
        <f t="shared" ref="C66:C71" si="0">C65+4.57</f>
        <v>24.380000000000003</v>
      </c>
      <c r="D66" s="11">
        <f>0.08+0.06*2</f>
        <v>0.2</v>
      </c>
      <c r="E66" s="5">
        <f>C66+D66*(449*'fiche de paye'!$B$2)</f>
        <v>442.67513500000007</v>
      </c>
      <c r="F66" s="13">
        <f>C66+D66*(717*'fiche de paye'!$B$2)</f>
        <v>692.34795500000007</v>
      </c>
    </row>
    <row r="67" spans="2:6" x14ac:dyDescent="0.25">
      <c r="B67" s="1" t="s">
        <v>72</v>
      </c>
      <c r="C67" s="6">
        <f t="shared" si="0"/>
        <v>28.950000000000003</v>
      </c>
      <c r="D67" s="11">
        <f>0.08+0.06*3</f>
        <v>0.26</v>
      </c>
      <c r="E67" s="5">
        <f>C67+D67*(449*'fiche de paye'!$B$2)</f>
        <v>572.73367550000012</v>
      </c>
      <c r="F67" s="13">
        <f>C67+D67*(717*'fiche de paye'!$B$2)</f>
        <v>897.3083415000001</v>
      </c>
    </row>
    <row r="68" spans="2:6" x14ac:dyDescent="0.25">
      <c r="B68" s="1" t="s">
        <v>73</v>
      </c>
      <c r="C68" s="6">
        <f t="shared" si="0"/>
        <v>33.520000000000003</v>
      </c>
      <c r="D68" s="11">
        <f>0.08+0.06*4</f>
        <v>0.32</v>
      </c>
      <c r="E68" s="5">
        <f>C68+D68*(449*'fiche de paye'!$B$2)</f>
        <v>702.79221600000005</v>
      </c>
      <c r="F68" s="13">
        <f>C68+D68*(717*'fiche de paye'!$B$2)</f>
        <v>1102.268728</v>
      </c>
    </row>
    <row r="69" spans="2:6" x14ac:dyDescent="0.25">
      <c r="B69" s="1" t="s">
        <v>74</v>
      </c>
      <c r="C69" s="6">
        <f t="shared" si="0"/>
        <v>38.090000000000003</v>
      </c>
      <c r="D69" s="11">
        <f>0.08+0.06*5</f>
        <v>0.38</v>
      </c>
      <c r="E69" s="5">
        <f>C69+D69*(449*'fiche de paye'!$B$2)</f>
        <v>832.8507565000001</v>
      </c>
      <c r="F69" s="13">
        <f>C69+D69*(717*'fiche de paye'!$B$2)</f>
        <v>1307.2291144999999</v>
      </c>
    </row>
    <row r="70" spans="2:6" x14ac:dyDescent="0.25">
      <c r="B70" s="1" t="s">
        <v>75</v>
      </c>
      <c r="C70" s="6">
        <f t="shared" si="0"/>
        <v>42.660000000000004</v>
      </c>
      <c r="D70" s="11">
        <f>0.08+0.06*6</f>
        <v>0.44</v>
      </c>
      <c r="E70" s="5">
        <f>C70+D70*(449*'fiche de paye'!$B$2)</f>
        <v>962.90929700000004</v>
      </c>
      <c r="F70" s="13">
        <f>C70+D70*(717*'fiche de paye'!$B$2)</f>
        <v>1512.1895010000001</v>
      </c>
    </row>
    <row r="71" spans="2:6" ht="15.75" thickBot="1" x14ac:dyDescent="0.3">
      <c r="B71" s="7" t="s">
        <v>76</v>
      </c>
      <c r="C71" s="8">
        <f t="shared" si="0"/>
        <v>47.230000000000004</v>
      </c>
      <c r="D71" s="12">
        <f>0.08+0.06*7</f>
        <v>0.5</v>
      </c>
      <c r="E71" s="9">
        <f>C71+D71*(449*'fiche de paye'!$B$2)</f>
        <v>1092.9678375000001</v>
      </c>
      <c r="F71" s="14">
        <f>C71+D71*(717*'fiche de paye'!$B$2)</f>
        <v>1717.1498875</v>
      </c>
    </row>
    <row r="73" spans="2:6" ht="15.75" thickBot="1" x14ac:dyDescent="0.3"/>
    <row r="74" spans="2:6" x14ac:dyDescent="0.25">
      <c r="B74" s="53" t="s">
        <v>0</v>
      </c>
      <c r="C74" s="88" t="s">
        <v>5</v>
      </c>
      <c r="D74" s="71" t="s">
        <v>4</v>
      </c>
    </row>
    <row r="75" spans="2:6" x14ac:dyDescent="0.25">
      <c r="B75" s="54" t="s">
        <v>1</v>
      </c>
      <c r="C75" s="89">
        <v>0.03</v>
      </c>
      <c r="D75" s="82">
        <f>C75*312*'fiche de paye'!B2</f>
        <v>43.599581999999998</v>
      </c>
    </row>
    <row r="76" spans="2:6" x14ac:dyDescent="0.25">
      <c r="B76" s="54" t="s">
        <v>2</v>
      </c>
      <c r="C76" s="89">
        <v>0.01</v>
      </c>
      <c r="D76" s="82">
        <f>C76*312*'fiche de paye'!B2</f>
        <v>14.533194000000002</v>
      </c>
    </row>
    <row r="77" spans="2:6" ht="15.75" thickBot="1" x14ac:dyDescent="0.3">
      <c r="B77" s="55" t="s">
        <v>3</v>
      </c>
      <c r="C77" s="90">
        <v>0</v>
      </c>
      <c r="D77" s="84">
        <v>0</v>
      </c>
    </row>
    <row r="79" spans="2:6" ht="15.75" thickBot="1" x14ac:dyDescent="0.3"/>
    <row r="80" spans="2:6" x14ac:dyDescent="0.25">
      <c r="B80" s="50" t="s">
        <v>140</v>
      </c>
      <c r="C80" s="96" t="s">
        <v>169</v>
      </c>
      <c r="D80" s="96" t="s">
        <v>168</v>
      </c>
      <c r="E80" s="122" t="s">
        <v>178</v>
      </c>
    </row>
    <row r="81" spans="2:5" x14ac:dyDescent="0.25">
      <c r="B81" s="123" t="s">
        <v>180</v>
      </c>
      <c r="C81" s="124">
        <v>9.9400000000000002E-2</v>
      </c>
      <c r="D81" s="125">
        <v>4.6580750000000002</v>
      </c>
      <c r="E81" s="126">
        <v>2</v>
      </c>
    </row>
    <row r="82" spans="2:5" x14ac:dyDescent="0.25">
      <c r="B82" s="123" t="s">
        <v>181</v>
      </c>
      <c r="C82" s="124">
        <v>0.10290000000000001</v>
      </c>
      <c r="D82" s="125">
        <v>4.6580750000000002</v>
      </c>
      <c r="E82" s="126">
        <v>2</v>
      </c>
    </row>
    <row r="83" spans="2:5" x14ac:dyDescent="0.25">
      <c r="B83" s="123" t="s">
        <v>182</v>
      </c>
      <c r="C83" s="124">
        <v>0.10290000000000001</v>
      </c>
      <c r="D83" s="125">
        <v>4.6860249999999999</v>
      </c>
      <c r="E83" s="126">
        <v>2</v>
      </c>
    </row>
    <row r="84" spans="2:5" x14ac:dyDescent="0.25">
      <c r="B84" s="123" t="s">
        <v>183</v>
      </c>
      <c r="C84" s="124">
        <v>0.10290000000000001</v>
      </c>
      <c r="D84" s="125">
        <v>4.6860249999999999</v>
      </c>
      <c r="E84" s="126">
        <v>3</v>
      </c>
    </row>
    <row r="85" spans="2:5" x14ac:dyDescent="0.25">
      <c r="B85" s="123" t="s">
        <v>179</v>
      </c>
      <c r="C85" s="124">
        <v>0.1056</v>
      </c>
      <c r="D85" s="125">
        <v>4.6860249999999999</v>
      </c>
      <c r="E85" s="126">
        <v>3</v>
      </c>
    </row>
    <row r="86" spans="2:5" x14ac:dyDescent="0.25">
      <c r="B86" s="123" t="s">
        <v>184</v>
      </c>
      <c r="C86" s="124">
        <v>0.1056</v>
      </c>
      <c r="D86" s="125">
        <v>4.6860249999999999</v>
      </c>
      <c r="E86" s="126">
        <v>4</v>
      </c>
    </row>
    <row r="87" spans="2:5" x14ac:dyDescent="0.25">
      <c r="B87" s="123" t="s">
        <v>185</v>
      </c>
      <c r="C87" s="124">
        <v>0.10829999999999999</v>
      </c>
      <c r="D87" s="125">
        <v>4.6860249999999999</v>
      </c>
      <c r="E87" s="126">
        <v>5</v>
      </c>
    </row>
    <row r="88" spans="2:5" ht="15.75" thickBot="1" x14ac:dyDescent="0.3">
      <c r="B88" s="127" t="s">
        <v>141</v>
      </c>
      <c r="C88" s="128">
        <v>0.111</v>
      </c>
      <c r="D88" s="129">
        <v>4.6860249999999999</v>
      </c>
      <c r="E88" s="130">
        <v>5</v>
      </c>
    </row>
    <row r="91" spans="2:5" ht="15.75" thickBot="1" x14ac:dyDescent="0.3"/>
    <row r="92" spans="2:5" x14ac:dyDescent="0.25">
      <c r="B92" s="131" t="s">
        <v>188</v>
      </c>
      <c r="C92" s="122" t="s">
        <v>189</v>
      </c>
    </row>
    <row r="93" spans="2:5" x14ac:dyDescent="0.25">
      <c r="B93" s="132" t="s">
        <v>194</v>
      </c>
      <c r="C93" s="142">
        <v>0</v>
      </c>
    </row>
    <row r="94" spans="2:5" x14ac:dyDescent="0.25">
      <c r="B94" s="132" t="s">
        <v>190</v>
      </c>
      <c r="C94" s="133">
        <v>40</v>
      </c>
    </row>
    <row r="95" spans="2:5" x14ac:dyDescent="0.25">
      <c r="B95" s="132" t="s">
        <v>191</v>
      </c>
      <c r="C95" s="133">
        <v>60</v>
      </c>
    </row>
    <row r="96" spans="2:5" ht="15.75" thickBot="1" x14ac:dyDescent="0.3">
      <c r="B96" s="134" t="s">
        <v>192</v>
      </c>
      <c r="C96" s="135">
        <v>100</v>
      </c>
    </row>
  </sheetData>
  <sheetProtection password="E99B" sheet="1" objects="1" scenarios="1" selectLockedCells="1" selectUnlockedCells="1"/>
  <phoneticPr fontId="3" type="noConversion"/>
  <pageMargins left="0.25" right="0.25" top="0.75" bottom="0.75" header="0.3" footer="0.3"/>
  <pageSetup paperSize="9" scale="46" orientation="portrait" horizontalDpi="4294967294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>
    <tabColor theme="3" tint="0.79998168889431442"/>
  </sheetPr>
  <dimension ref="A1:G15"/>
  <sheetViews>
    <sheetView workbookViewId="0">
      <selection activeCell="G24" sqref="G24"/>
    </sheetView>
  </sheetViews>
  <sheetFormatPr baseColWidth="10" defaultRowHeight="15" x14ac:dyDescent="0.25"/>
  <cols>
    <col min="1" max="6" width="11.42578125" style="64"/>
    <col min="7" max="7" width="58.85546875" style="64" customWidth="1"/>
    <col min="8" max="16384" width="11.42578125" style="64"/>
  </cols>
  <sheetData>
    <row r="1" spans="1:7" x14ac:dyDescent="0.25">
      <c r="A1" s="65" t="s">
        <v>107</v>
      </c>
      <c r="B1" s="169" t="s">
        <v>110</v>
      </c>
      <c r="C1" s="169"/>
      <c r="D1" s="169"/>
      <c r="E1" s="169"/>
      <c r="F1" s="169"/>
      <c r="G1" s="170"/>
    </row>
    <row r="2" spans="1:7" x14ac:dyDescent="0.25">
      <c r="A2" s="1" t="s">
        <v>108</v>
      </c>
      <c r="B2" s="167" t="s">
        <v>109</v>
      </c>
      <c r="C2" s="167"/>
      <c r="D2" s="167"/>
      <c r="E2" s="167"/>
      <c r="F2" s="167"/>
      <c r="G2" s="168"/>
    </row>
    <row r="3" spans="1:7" x14ac:dyDescent="0.25">
      <c r="A3" s="1" t="s">
        <v>139</v>
      </c>
      <c r="B3" s="167" t="s">
        <v>135</v>
      </c>
      <c r="C3" s="167"/>
      <c r="D3" s="167"/>
      <c r="E3" s="167"/>
      <c r="F3" s="167"/>
      <c r="G3" s="168"/>
    </row>
    <row r="4" spans="1:7" x14ac:dyDescent="0.25">
      <c r="A4" s="1" t="s">
        <v>142</v>
      </c>
      <c r="B4" s="167" t="s">
        <v>143</v>
      </c>
      <c r="C4" s="167"/>
      <c r="D4" s="167"/>
      <c r="E4" s="167"/>
      <c r="F4" s="167"/>
      <c r="G4" s="168"/>
    </row>
    <row r="5" spans="1:7" x14ac:dyDescent="0.25">
      <c r="A5" s="1" t="s">
        <v>146</v>
      </c>
      <c r="B5" s="167" t="s">
        <v>148</v>
      </c>
      <c r="C5" s="167"/>
      <c r="D5" s="167"/>
      <c r="E5" s="167"/>
      <c r="F5" s="167"/>
      <c r="G5" s="168"/>
    </row>
    <row r="6" spans="1:7" x14ac:dyDescent="0.25">
      <c r="A6" s="1" t="s">
        <v>147</v>
      </c>
      <c r="B6" s="167" t="s">
        <v>149</v>
      </c>
      <c r="C6" s="167"/>
      <c r="D6" s="167"/>
      <c r="E6" s="167"/>
      <c r="F6" s="167"/>
      <c r="G6" s="168"/>
    </row>
    <row r="7" spans="1:7" x14ac:dyDescent="0.25">
      <c r="A7" s="1" t="s">
        <v>151</v>
      </c>
      <c r="B7" s="162" t="s">
        <v>160</v>
      </c>
      <c r="C7" s="162"/>
      <c r="D7" s="162"/>
      <c r="E7" s="162"/>
      <c r="F7" s="162"/>
      <c r="G7" s="163"/>
    </row>
    <row r="8" spans="1:7" x14ac:dyDescent="0.25">
      <c r="A8" s="1" t="s">
        <v>161</v>
      </c>
      <c r="B8" s="162" t="s">
        <v>162</v>
      </c>
      <c r="C8" s="162"/>
      <c r="D8" s="162"/>
      <c r="E8" s="162"/>
      <c r="F8" s="162"/>
      <c r="G8" s="163"/>
    </row>
    <row r="9" spans="1:7" x14ac:dyDescent="0.25">
      <c r="A9" s="1" t="s">
        <v>163</v>
      </c>
      <c r="B9" s="162" t="s">
        <v>164</v>
      </c>
      <c r="C9" s="162"/>
      <c r="D9" s="162"/>
      <c r="E9" s="162"/>
      <c r="F9" s="162"/>
      <c r="G9" s="163"/>
    </row>
    <row r="10" spans="1:7" x14ac:dyDescent="0.25">
      <c r="A10" s="1" t="s">
        <v>165</v>
      </c>
      <c r="B10" s="162" t="s">
        <v>166</v>
      </c>
      <c r="C10" s="162"/>
      <c r="D10" s="162"/>
      <c r="E10" s="162"/>
      <c r="F10" s="162"/>
      <c r="G10" s="163"/>
    </row>
    <row r="11" spans="1:7" x14ac:dyDescent="0.25">
      <c r="A11" s="1" t="s">
        <v>167</v>
      </c>
      <c r="B11" s="166" t="s">
        <v>174</v>
      </c>
      <c r="C11" s="162"/>
      <c r="D11" s="162"/>
      <c r="E11" s="162"/>
      <c r="F11" s="162"/>
      <c r="G11" s="163"/>
    </row>
    <row r="12" spans="1:7" x14ac:dyDescent="0.25">
      <c r="A12" s="1" t="s">
        <v>186</v>
      </c>
      <c r="B12" s="162" t="s">
        <v>187</v>
      </c>
      <c r="C12" s="162"/>
      <c r="D12" s="162"/>
      <c r="E12" s="162"/>
      <c r="F12" s="162"/>
      <c r="G12" s="163"/>
    </row>
    <row r="13" spans="1:7" x14ac:dyDescent="0.25">
      <c r="A13" s="1"/>
      <c r="B13" s="162"/>
      <c r="C13" s="162"/>
      <c r="D13" s="162"/>
      <c r="E13" s="162"/>
      <c r="F13" s="162"/>
      <c r="G13" s="163"/>
    </row>
    <row r="14" spans="1:7" x14ac:dyDescent="0.25">
      <c r="A14" s="1"/>
      <c r="B14" s="162"/>
      <c r="C14" s="162"/>
      <c r="D14" s="162"/>
      <c r="E14" s="162"/>
      <c r="F14" s="162"/>
      <c r="G14" s="163"/>
    </row>
    <row r="15" spans="1:7" ht="15.75" thickBot="1" x14ac:dyDescent="0.3">
      <c r="A15" s="7"/>
      <c r="B15" s="164"/>
      <c r="C15" s="164"/>
      <c r="D15" s="164"/>
      <c r="E15" s="164"/>
      <c r="F15" s="164"/>
      <c r="G15" s="165"/>
    </row>
  </sheetData>
  <sheetProtection password="E99B" sheet="1" objects="1" scenarios="1" selectLockedCells="1" selectUnlockedCells="1"/>
  <mergeCells count="15">
    <mergeCell ref="B6:G6"/>
    <mergeCell ref="B1:G1"/>
    <mergeCell ref="B2:G2"/>
    <mergeCell ref="B3:G3"/>
    <mergeCell ref="B4:G4"/>
    <mergeCell ref="B5:G5"/>
    <mergeCell ref="B13:G13"/>
    <mergeCell ref="B14:G14"/>
    <mergeCell ref="B15:G15"/>
    <mergeCell ref="B7:G7"/>
    <mergeCell ref="B8:G8"/>
    <mergeCell ref="B9:G9"/>
    <mergeCell ref="B10:G10"/>
    <mergeCell ref="B11:G11"/>
    <mergeCell ref="B12:G12"/>
  </mergeCell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26</vt:i4>
      </vt:variant>
    </vt:vector>
  </HeadingPairs>
  <TitlesOfParts>
    <vt:vector size="29" baseType="lpstr">
      <vt:lpstr>fiche de paye</vt:lpstr>
      <vt:lpstr>tableaux primes et indiciaires</vt:lpstr>
      <vt:lpstr>version</vt:lpstr>
      <vt:lpstr>l_année</vt:lpstr>
      <vt:lpstr>l_années</vt:lpstr>
      <vt:lpstr>l_EVS</vt:lpstr>
      <vt:lpstr>l_EVSfonction</vt:lpstr>
      <vt:lpstr>l_evsmontant</vt:lpstr>
      <vt:lpstr>l_grade</vt:lpstr>
      <vt:lpstr>L_gradeindice</vt:lpstr>
      <vt:lpstr>L_gradeindicetech</vt:lpstr>
      <vt:lpstr>l_montant_CDG</vt:lpstr>
      <vt:lpstr>l_montantPCS</vt:lpstr>
      <vt:lpstr>l_montantpeq</vt:lpstr>
      <vt:lpstr>l_montantresidence</vt:lpstr>
      <vt:lpstr>l_nbenfantsacharge</vt:lpstr>
      <vt:lpstr>l_nbi</vt:lpstr>
      <vt:lpstr>l_niveauEVS</vt:lpstr>
      <vt:lpstr>l_PCS</vt:lpstr>
      <vt:lpstr>l_peq</vt:lpstr>
      <vt:lpstr>l_prime_CDG</vt:lpstr>
      <vt:lpstr>l_ptnbi</vt:lpstr>
      <vt:lpstr>l_residence</vt:lpstr>
      <vt:lpstr>l_supplfamilial</vt:lpstr>
      <vt:lpstr>l_tauxPC</vt:lpstr>
      <vt:lpstr>Prime_CDG</vt:lpstr>
      <vt:lpstr>Stade_protocole_2016</vt:lpstr>
      <vt:lpstr>'fiche de paye'!Zone_d_impression</vt:lpstr>
      <vt:lpstr>'tableaux primes et indiciaires'!Zone_d_impression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lbh</dc:creator>
  <cp:lastModifiedBy>Le-Bihan</cp:lastModifiedBy>
  <cp:lastPrinted>2017-02-02T20:30:27Z</cp:lastPrinted>
  <dcterms:created xsi:type="dcterms:W3CDTF">2012-08-15T16:23:20Z</dcterms:created>
  <dcterms:modified xsi:type="dcterms:W3CDTF">2017-02-08T10:59:19Z</dcterms:modified>
</cp:coreProperties>
</file>